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Yasuko\Desktop\ohya shipping\SCHEDULE\"/>
    </mc:Choice>
  </mc:AlternateContent>
  <xr:revisionPtr revIDLastSave="0" documentId="13_ncr:1_{50BE4FFC-6E19-4382-8B6C-D37FDE4E7D11}" xr6:coauthVersionLast="47" xr6:coauthVersionMax="47" xr10:uidLastSave="{00000000-0000-0000-0000-000000000000}"/>
  <bookViews>
    <workbookView xWindow="1560" yWindow="450" windowWidth="16110" windowHeight="15030" tabRatio="702" firstSheet="33" activeTab="38" xr2:uid="{00000000-000D-0000-FFFF-FFFF00000000}"/>
  </bookViews>
  <sheets>
    <sheet name="COVER" sheetId="43709" r:id="rId1"/>
    <sheet name="3月" sheetId="43711" r:id="rId2"/>
    <sheet name="4月" sheetId="43712" r:id="rId3"/>
    <sheet name="5月 " sheetId="43713" r:id="rId4"/>
    <sheet name="7月 " sheetId="43716" r:id="rId5"/>
    <sheet name="6月" sheetId="43715" r:id="rId6"/>
    <sheet name="8月 " sheetId="43717" r:id="rId7"/>
    <sheet name="9月  " sheetId="43718" r:id="rId8"/>
    <sheet name="10月 " sheetId="43719" r:id="rId9"/>
    <sheet name="12月" sheetId="43721" r:id="rId10"/>
    <sheet name="11月" sheetId="43720" r:id="rId11"/>
    <sheet name="2020年1月" sheetId="43722" r:id="rId12"/>
    <sheet name="2020年2月" sheetId="43723" r:id="rId13"/>
    <sheet name="2020年3月" sheetId="43724" r:id="rId14"/>
    <sheet name="2020年4月" sheetId="43725" r:id="rId15"/>
    <sheet name="2020年8月" sheetId="43726" r:id="rId16"/>
    <sheet name="2020年９月" sheetId="43729" r:id="rId17"/>
    <sheet name="2020年10月" sheetId="43727" r:id="rId18"/>
    <sheet name="2020年11月" sheetId="43728" r:id="rId19"/>
    <sheet name="2020年12月" sheetId="43730" r:id="rId20"/>
    <sheet name="2021年1月" sheetId="43731" r:id="rId21"/>
    <sheet name="2021年2月" sheetId="43732" r:id="rId22"/>
    <sheet name="2021年3月" sheetId="43733" r:id="rId23"/>
    <sheet name="2021年４月" sheetId="43736" r:id="rId24"/>
    <sheet name="2021年5月" sheetId="43737" r:id="rId25"/>
    <sheet name="2021年6月" sheetId="43738" r:id="rId26"/>
    <sheet name="2021年6月 (2)" sheetId="43739" r:id="rId27"/>
    <sheet name="2021年7月" sheetId="43740" r:id="rId28"/>
    <sheet name="2021年8月" sheetId="43741" r:id="rId29"/>
    <sheet name="2021年9月" sheetId="43742" r:id="rId30"/>
    <sheet name="2021年10月" sheetId="43743" r:id="rId31"/>
    <sheet name="2021年11月" sheetId="43744" r:id="rId32"/>
    <sheet name="2021年11月 (2)" sheetId="43745" r:id="rId33"/>
    <sheet name="2021年12月" sheetId="43746" r:id="rId34"/>
    <sheet name="2022　1月" sheetId="43747" r:id="rId35"/>
    <sheet name="2022　2月" sheetId="43748" r:id="rId36"/>
    <sheet name="2022　4月" sheetId="43749" r:id="rId37"/>
    <sheet name="2022　5月" sheetId="43750" r:id="rId38"/>
    <sheet name="2022　6月" sheetId="43751" r:id="rId39"/>
    <sheet name="Sheet1" sheetId="43734" r:id="rId40"/>
    <sheet name="Sheet2" sheetId="43735" r:id="rId41"/>
  </sheets>
  <definedNames>
    <definedName name="_xlnm.Print_Area" localSheetId="8">'10月 '!$A$1:$P$31</definedName>
    <definedName name="_xlnm.Print_Area" localSheetId="10">'11月'!$A$1:$P$31</definedName>
    <definedName name="_xlnm.Print_Area" localSheetId="9">'12月'!$A$1:$P$31</definedName>
    <definedName name="_xlnm.Print_Area" localSheetId="11">'2020年1月'!$A$1:$P$31</definedName>
    <definedName name="_xlnm.Print_Area" localSheetId="12">'2020年2月'!$A$1:$P$31</definedName>
    <definedName name="_xlnm.Print_Area" localSheetId="13">'2020年3月'!$A$1:$P$31</definedName>
    <definedName name="_xlnm.Print_Area" localSheetId="14">'2020年4月'!$A$1:$P$31</definedName>
    <definedName name="_xlnm.Print_Area" localSheetId="15">'2020年8月'!$A$1:$O$27</definedName>
    <definedName name="_xlnm.Print_Area" localSheetId="16">'2020年９月'!$A$1:$O$29</definedName>
    <definedName name="_xlnm.Print_Area" localSheetId="30">'2021年10月'!$A$1:$J$39</definedName>
    <definedName name="_xlnm.Print_Area" localSheetId="31">'2021年11月'!$A$1:$J$39</definedName>
    <definedName name="_xlnm.Print_Area" localSheetId="32">'2021年11月 (2)'!$A$1:$J$39</definedName>
    <definedName name="_xlnm.Print_Area" localSheetId="33">'2021年12月'!$A$1:$J$40</definedName>
    <definedName name="_xlnm.Print_Area" localSheetId="24">'2021年5月'!$A$1:$J$39</definedName>
    <definedName name="_xlnm.Print_Area" localSheetId="25">'2021年6月'!$A$1:$J$39</definedName>
    <definedName name="_xlnm.Print_Area" localSheetId="26">'2021年6月 (2)'!$A$1:$J$39</definedName>
    <definedName name="_xlnm.Print_Area" localSheetId="27">'2021年7月'!$A$1:$J$39</definedName>
    <definedName name="_xlnm.Print_Area" localSheetId="28">'2021年8月'!$A$1:$J$39</definedName>
    <definedName name="_xlnm.Print_Area" localSheetId="29">'2021年9月'!$A$1:$J$39</definedName>
    <definedName name="_xlnm.Print_Area" localSheetId="34">'2022　1月'!$A$1:$J$40</definedName>
    <definedName name="_xlnm.Print_Area" localSheetId="35">'2022　2月'!$A$1:$J$40</definedName>
    <definedName name="_xlnm.Print_Area" localSheetId="36">'2022　4月'!$A$1:$J$40</definedName>
    <definedName name="_xlnm.Print_Area" localSheetId="37">'2022　5月'!$A$1:$J$40</definedName>
    <definedName name="_xlnm.Print_Area" localSheetId="38">'2022　6月'!$A$1:$J$40</definedName>
    <definedName name="_xlnm.Print_Area" localSheetId="1">'3月'!$A$1:$R$44</definedName>
    <definedName name="_xlnm.Print_Area" localSheetId="2">'4月'!$A$1:$R$39</definedName>
    <definedName name="_xlnm.Print_Area" localSheetId="3">'5月 '!$A$1:$R$41</definedName>
    <definedName name="_xlnm.Print_Area" localSheetId="5">'6月'!$A$1:$P$31</definedName>
    <definedName name="_xlnm.Print_Area" localSheetId="4">'7月 '!$A$1:$P$31</definedName>
    <definedName name="_xlnm.Print_Area" localSheetId="6">'8月 '!$A$1:$P$31</definedName>
    <definedName name="_xlnm.Print_Area" localSheetId="7">'9月  '!$A$1:$P$31</definedName>
    <definedName name="_xlnm.Print_Area" localSheetId="0">COVER!$A$1:$P$63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3751" l="1"/>
  <c r="J13" i="43751"/>
  <c r="J14" i="43751"/>
  <c r="J15" i="43751"/>
  <c r="J16" i="43751"/>
  <c r="J17" i="43751"/>
  <c r="J18" i="43751"/>
  <c r="J19" i="43751"/>
  <c r="J20" i="43751"/>
  <c r="J21" i="43751"/>
  <c r="J22" i="43751"/>
  <c r="J23" i="43751"/>
  <c r="J24" i="43751"/>
  <c r="I24" i="43751"/>
  <c r="I23" i="43751"/>
  <c r="I22" i="43751"/>
  <c r="I21" i="43751"/>
  <c r="I20" i="43751"/>
  <c r="I19" i="43751"/>
  <c r="I18" i="43751"/>
  <c r="I17" i="43751"/>
  <c r="I16" i="43751"/>
  <c r="I15" i="43751"/>
  <c r="I14" i="43751"/>
  <c r="I13" i="43751"/>
  <c r="I12" i="43751"/>
  <c r="I11" i="43751"/>
  <c r="J11" i="43751" s="1"/>
  <c r="I20" i="43750"/>
  <c r="I19" i="43750"/>
  <c r="J19" i="43750" s="1"/>
  <c r="J20" i="43750"/>
  <c r="I18" i="43750"/>
  <c r="J18" i="43750" s="1"/>
  <c r="I17" i="43750"/>
  <c r="I16" i="43750"/>
  <c r="I15" i="43750"/>
  <c r="J15" i="43750" s="1"/>
  <c r="I14" i="43750"/>
  <c r="J14" i="43750" s="1"/>
  <c r="I13" i="43750"/>
  <c r="J13" i="43750" s="1"/>
  <c r="I12" i="43750"/>
  <c r="J12" i="43750" s="1"/>
  <c r="J16" i="43750"/>
  <c r="J17" i="43750"/>
  <c r="I11" i="43750"/>
  <c r="J11" i="43750" s="1"/>
  <c r="J12" i="43749"/>
  <c r="J13" i="43749"/>
  <c r="J14" i="43749"/>
  <c r="J15" i="43749"/>
  <c r="J16" i="43749"/>
  <c r="J17" i="43749"/>
  <c r="J18" i="43749"/>
  <c r="J19" i="43749"/>
  <c r="J20" i="43749"/>
  <c r="J21" i="43749"/>
  <c r="J22" i="43749"/>
  <c r="J23" i="43749"/>
  <c r="J24" i="43749"/>
  <c r="J11" i="43749"/>
  <c r="I24" i="43749"/>
  <c r="I23" i="43749"/>
  <c r="I22" i="43749"/>
  <c r="I21" i="43749"/>
  <c r="I20" i="43749"/>
  <c r="I19" i="43749"/>
  <c r="I18" i="43749"/>
  <c r="I17" i="43749"/>
  <c r="I16" i="43749"/>
  <c r="I15" i="43749"/>
  <c r="I14" i="43749"/>
  <c r="I13" i="43749"/>
  <c r="I12" i="43749"/>
  <c r="I11" i="43749"/>
  <c r="G18" i="43749"/>
  <c r="G20" i="43749"/>
  <c r="G21" i="43749"/>
  <c r="G23" i="43749"/>
  <c r="J23" i="43748"/>
  <c r="J22" i="43748"/>
  <c r="J21" i="43748"/>
  <c r="J20" i="43748"/>
  <c r="J19" i="43748"/>
  <c r="J18" i="43748"/>
  <c r="J16" i="43748"/>
  <c r="J15" i="43748"/>
  <c r="J14" i="43748"/>
  <c r="J13" i="43748"/>
  <c r="J12" i="43748"/>
  <c r="J11" i="43748"/>
  <c r="I23" i="43748"/>
  <c r="I22" i="43748"/>
  <c r="I21" i="43748"/>
  <c r="I20" i="43748"/>
  <c r="I19" i="43748"/>
  <c r="I18" i="43748"/>
  <c r="I16" i="43748"/>
  <c r="I15" i="43748"/>
  <c r="I14" i="43748"/>
  <c r="I13" i="43748"/>
  <c r="I12" i="43748"/>
  <c r="I11" i="43748"/>
  <c r="J25" i="43747"/>
  <c r="J24" i="43747"/>
  <c r="J23" i="43747"/>
  <c r="J22" i="43747"/>
  <c r="J21" i="43747"/>
  <c r="J20" i="43747"/>
  <c r="J19" i="43747"/>
  <c r="J18" i="43747"/>
  <c r="J17" i="43747"/>
  <c r="J16" i="43747"/>
  <c r="J12" i="43747"/>
  <c r="J11" i="43747"/>
  <c r="I25" i="43747"/>
  <c r="I24" i="43747"/>
  <c r="I23" i="43747"/>
  <c r="I22" i="43747"/>
  <c r="I21" i="43747"/>
  <c r="I20" i="43747"/>
  <c r="I19" i="43747"/>
  <c r="I18" i="43747"/>
  <c r="I17" i="43747"/>
  <c r="I16" i="43747"/>
  <c r="I12" i="43747"/>
  <c r="I11" i="43747"/>
  <c r="J24" i="43746"/>
  <c r="J23" i="43746"/>
  <c r="J22" i="43746"/>
  <c r="J21" i="43746"/>
  <c r="J20" i="43746"/>
  <c r="J19" i="43746"/>
  <c r="J18" i="43746"/>
  <c r="J17" i="43746"/>
  <c r="J16" i="43746"/>
  <c r="I24" i="43746"/>
  <c r="I23" i="43746"/>
  <c r="I22" i="43746"/>
  <c r="I21" i="43746"/>
  <c r="I20" i="43746"/>
  <c r="I19" i="43746"/>
  <c r="I18" i="43746"/>
  <c r="I17" i="43746"/>
  <c r="I16" i="43746"/>
  <c r="J15" i="43746"/>
  <c r="I15" i="43746"/>
  <c r="J14" i="43746"/>
  <c r="I14" i="43746"/>
  <c r="J13" i="43746"/>
  <c r="I13" i="43746"/>
  <c r="J12" i="43746"/>
  <c r="I12" i="43746"/>
  <c r="J11" i="43746"/>
  <c r="I11" i="43746"/>
  <c r="J23" i="43745"/>
  <c r="J22" i="43745"/>
  <c r="J21" i="43745"/>
  <c r="J20" i="43745"/>
  <c r="J19" i="43745"/>
  <c r="J18" i="43745"/>
  <c r="I23" i="43745"/>
  <c r="I22" i="43745"/>
  <c r="I21" i="43745"/>
  <c r="I20" i="43745"/>
  <c r="I19" i="43745"/>
  <c r="I18" i="43745"/>
  <c r="J17" i="43745"/>
  <c r="I17" i="43745"/>
  <c r="J16" i="43745"/>
  <c r="I16" i="43745"/>
  <c r="J15" i="43745"/>
  <c r="I15" i="43745"/>
  <c r="J14" i="43745"/>
  <c r="I14" i="43745"/>
  <c r="J13" i="43745"/>
  <c r="I13" i="43745"/>
  <c r="J12" i="43745"/>
  <c r="I12" i="43745"/>
  <c r="J11" i="43745"/>
  <c r="I11" i="43745"/>
  <c r="J22" i="43744"/>
  <c r="J21" i="43744"/>
  <c r="J20" i="43744"/>
  <c r="J19" i="43744"/>
  <c r="J18" i="43744"/>
  <c r="J17" i="43744"/>
  <c r="J16" i="43744"/>
  <c r="J15" i="43744"/>
  <c r="J14" i="43744"/>
  <c r="J13" i="43744"/>
  <c r="J12" i="43744"/>
  <c r="J11" i="43744"/>
  <c r="I22" i="43744"/>
  <c r="I21" i="43744"/>
  <c r="I20" i="43744"/>
  <c r="I19" i="43744"/>
  <c r="I18" i="43744"/>
  <c r="I17" i="43744"/>
  <c r="I16" i="43744"/>
  <c r="I15" i="43744"/>
  <c r="I14" i="43744"/>
  <c r="I13" i="43744"/>
  <c r="I12" i="43744"/>
  <c r="I11" i="43744"/>
  <c r="J20" i="43743"/>
  <c r="J23" i="43743"/>
  <c r="J22" i="43743"/>
  <c r="J21" i="43743"/>
  <c r="J19" i="43743"/>
  <c r="J18" i="43743"/>
  <c r="J17" i="43743"/>
  <c r="J16" i="43743"/>
  <c r="J15" i="43743"/>
  <c r="J14" i="43743"/>
  <c r="J13" i="43743"/>
  <c r="J12" i="43743"/>
  <c r="J11" i="43743"/>
  <c r="I23" i="43743"/>
  <c r="I22" i="43743"/>
  <c r="I21" i="43743"/>
  <c r="I20" i="43743"/>
  <c r="I19" i="43743"/>
  <c r="I18" i="43743"/>
  <c r="I17" i="43743"/>
  <c r="I16" i="43743"/>
  <c r="I15" i="43743"/>
  <c r="I14" i="43743"/>
  <c r="I13" i="43743"/>
  <c r="I12" i="43743"/>
  <c r="I11" i="43743"/>
  <c r="J23" i="43742"/>
  <c r="J22" i="43742"/>
  <c r="J21" i="43742"/>
  <c r="J20" i="43742"/>
  <c r="J19" i="43742"/>
  <c r="J18" i="43742"/>
  <c r="J17" i="43742"/>
  <c r="J16" i="43742"/>
  <c r="J15" i="43742"/>
  <c r="J14" i="43742"/>
  <c r="J13" i="43742"/>
  <c r="J12" i="43742"/>
  <c r="J11" i="43742"/>
  <c r="I23" i="43742"/>
  <c r="I22" i="43742"/>
  <c r="I21" i="43742"/>
  <c r="I20" i="43742"/>
  <c r="I19" i="43742"/>
  <c r="I18" i="43742"/>
  <c r="I17" i="43742"/>
  <c r="I16" i="43742"/>
  <c r="I15" i="43742"/>
  <c r="I14" i="43742"/>
  <c r="I13" i="43742"/>
  <c r="I12" i="43742"/>
  <c r="I11" i="43742"/>
  <c r="J20" i="43741"/>
  <c r="J24" i="43741"/>
  <c r="J23" i="43741"/>
  <c r="J22" i="43741"/>
  <c r="J21" i="43741"/>
  <c r="J19" i="43741"/>
  <c r="J18" i="43741"/>
  <c r="J17" i="43741"/>
  <c r="J16" i="43741"/>
  <c r="J15" i="43741"/>
  <c r="J14" i="43741"/>
  <c r="J13" i="43741"/>
  <c r="J12" i="43741"/>
  <c r="J11" i="43741"/>
  <c r="I24" i="43741"/>
  <c r="I23" i="43741"/>
  <c r="I22" i="43741"/>
  <c r="I21" i="43741"/>
  <c r="I20" i="43741"/>
  <c r="I19" i="43741"/>
  <c r="I18" i="43741"/>
  <c r="I17" i="43741"/>
  <c r="I16" i="43741"/>
  <c r="I15" i="43741"/>
  <c r="I14" i="43741"/>
  <c r="I13" i="43741"/>
  <c r="I12" i="43741"/>
  <c r="I11" i="43741"/>
  <c r="J23" i="43740"/>
  <c r="J22" i="43740"/>
  <c r="J21" i="43740"/>
  <c r="J20" i="43740"/>
  <c r="J19" i="43740"/>
  <c r="J18" i="43740"/>
  <c r="J17" i="43740"/>
  <c r="J16" i="43740"/>
  <c r="J15" i="43740"/>
  <c r="J14" i="43740"/>
  <c r="J13" i="43740"/>
  <c r="J12" i="43740"/>
  <c r="J11" i="43740"/>
  <c r="I23" i="43740"/>
  <c r="I22" i="43740"/>
  <c r="I21" i="43740"/>
  <c r="I20" i="43740"/>
  <c r="I19" i="43740"/>
  <c r="I18" i="43740"/>
  <c r="I17" i="43740"/>
  <c r="I16" i="43740"/>
  <c r="I15" i="43740"/>
  <c r="I14" i="43740"/>
  <c r="I13" i="43740"/>
  <c r="I12" i="43740"/>
  <c r="I11" i="43740"/>
  <c r="J23" i="43739"/>
  <c r="J22" i="43739"/>
  <c r="J21" i="43739"/>
  <c r="J20" i="43739"/>
  <c r="J19" i="43739"/>
  <c r="J18" i="43739"/>
  <c r="J17" i="43739"/>
  <c r="J16" i="43739"/>
  <c r="J15" i="43739"/>
  <c r="J14" i="43739"/>
  <c r="J13" i="43739"/>
  <c r="J12" i="43739"/>
  <c r="J11" i="43739"/>
  <c r="I23" i="43739"/>
  <c r="I22" i="43739"/>
  <c r="I21" i="43739"/>
  <c r="I20" i="43739"/>
  <c r="I19" i="43739"/>
  <c r="I18" i="43739"/>
  <c r="I17" i="43739"/>
  <c r="I16" i="43739"/>
  <c r="I15" i="43739"/>
  <c r="I14" i="43739"/>
  <c r="I13" i="43739"/>
  <c r="I12" i="43739"/>
  <c r="I11" i="43739"/>
  <c r="J22" i="43738"/>
  <c r="I19" i="43738"/>
  <c r="I13" i="43738"/>
  <c r="I11" i="43738"/>
  <c r="J23" i="43738"/>
  <c r="J21" i="43738"/>
  <c r="J20" i="43738"/>
  <c r="J19" i="43738"/>
  <c r="J18" i="43738"/>
  <c r="J17" i="43738"/>
  <c r="J16" i="43738"/>
  <c r="J15" i="43738"/>
  <c r="J14" i="43738"/>
  <c r="J13" i="43738"/>
  <c r="J12" i="43738"/>
  <c r="J11" i="43738"/>
  <c r="I23" i="43738"/>
  <c r="I22" i="43738"/>
  <c r="I21" i="43738"/>
  <c r="I20" i="43738"/>
  <c r="I18" i="43738"/>
  <c r="I17" i="43738"/>
  <c r="I16" i="43738"/>
  <c r="I15" i="43738"/>
  <c r="I14" i="43738"/>
  <c r="I12" i="43738"/>
  <c r="J22" i="43737"/>
  <c r="J21" i="43737"/>
  <c r="J20" i="43737"/>
  <c r="J19" i="43737"/>
  <c r="J18" i="43737"/>
  <c r="J17" i="43737"/>
  <c r="J16" i="43737"/>
  <c r="J15" i="43737"/>
  <c r="J14" i="43737"/>
  <c r="J13" i="43737"/>
  <c r="J12" i="43737"/>
  <c r="J11" i="43737"/>
  <c r="J11" i="43736"/>
  <c r="I22" i="43737"/>
  <c r="I21" i="43737"/>
  <c r="I20" i="43737"/>
  <c r="I19" i="43737"/>
  <c r="I18" i="43737"/>
  <c r="I17" i="43737"/>
  <c r="I16" i="43737"/>
  <c r="I15" i="43737"/>
  <c r="I14" i="43737"/>
  <c r="I13" i="43737"/>
  <c r="I12" i="43737"/>
  <c r="I11" i="43737"/>
  <c r="J23" i="43736"/>
  <c r="J22" i="43736"/>
  <c r="J21" i="43736"/>
  <c r="J20" i="43736"/>
  <c r="J19" i="43736"/>
  <c r="J18" i="43736"/>
  <c r="J17" i="43736"/>
  <c r="J16" i="43736"/>
  <c r="J15" i="43736"/>
  <c r="J14" i="43736"/>
  <c r="J13" i="43736"/>
  <c r="J12" i="43736"/>
  <c r="I23" i="43736"/>
  <c r="I22" i="43736"/>
  <c r="I21" i="43736"/>
  <c r="I20" i="43736"/>
  <c r="I19" i="43736"/>
  <c r="I18" i="43736"/>
  <c r="I17" i="43736"/>
  <c r="I16" i="43736"/>
  <c r="I15" i="43736"/>
  <c r="I14" i="43736"/>
  <c r="I13" i="43736"/>
  <c r="I12" i="43736"/>
  <c r="I11" i="43736"/>
  <c r="A25" i="43712"/>
  <c r="K20" i="43713"/>
  <c r="K19" i="43713"/>
  <c r="K18" i="43713"/>
  <c r="K17" i="43713"/>
  <c r="K16" i="43713"/>
  <c r="K15" i="43713"/>
  <c r="K14" i="43713"/>
  <c r="K13" i="43713"/>
  <c r="K12" i="43713"/>
  <c r="K11" i="43713"/>
  <c r="G20" i="43713"/>
  <c r="G19" i="43713"/>
  <c r="G17" i="43713"/>
  <c r="G16" i="43713"/>
  <c r="G14" i="43713"/>
  <c r="G13" i="43713"/>
  <c r="G11" i="43713"/>
  <c r="P20" i="43713"/>
  <c r="O20" i="43713"/>
  <c r="P19" i="43713"/>
  <c r="O19" i="43713"/>
  <c r="P18" i="43713"/>
  <c r="G18" i="43713"/>
  <c r="P17" i="43713"/>
  <c r="O17" i="43713"/>
  <c r="P16" i="43713"/>
  <c r="O16" i="43713"/>
  <c r="P15" i="43713"/>
  <c r="O15" i="43713"/>
  <c r="G15" i="43713"/>
  <c r="P14" i="43713"/>
  <c r="O14" i="43713"/>
  <c r="P13" i="43713"/>
  <c r="O13" i="43713"/>
  <c r="P12" i="43713"/>
  <c r="O12" i="43713"/>
  <c r="G12" i="43713"/>
  <c r="P11" i="43713"/>
  <c r="O11" i="43713"/>
  <c r="K20" i="43712"/>
  <c r="K19" i="43712"/>
  <c r="G20" i="43712"/>
  <c r="G19" i="43712"/>
  <c r="P13" i="43712"/>
  <c r="O13" i="43712"/>
  <c r="K13" i="43712"/>
  <c r="G13" i="43712"/>
  <c r="P12" i="43712"/>
  <c r="O12" i="43712"/>
  <c r="K12" i="43712"/>
  <c r="G12" i="43712"/>
  <c r="P11" i="43712"/>
  <c r="O11" i="43712"/>
  <c r="K11" i="43712"/>
  <c r="G11" i="43712"/>
  <c r="P23" i="43712"/>
  <c r="O23" i="43712"/>
  <c r="K23" i="43712"/>
  <c r="G23" i="43712"/>
  <c r="P22" i="43712"/>
  <c r="O22" i="43712"/>
  <c r="K22" i="43712"/>
  <c r="G22" i="43712"/>
  <c r="P21" i="43712"/>
  <c r="O21" i="43712"/>
  <c r="K21" i="43712"/>
  <c r="G21" i="43712"/>
  <c r="P20" i="43712"/>
  <c r="O20" i="43712"/>
  <c r="P19" i="43712"/>
  <c r="O19" i="43712"/>
  <c r="P18" i="43712"/>
  <c r="K18" i="43712"/>
  <c r="G18" i="43712"/>
  <c r="P17" i="43712"/>
  <c r="O17" i="43712"/>
  <c r="K17" i="43712"/>
  <c r="G17" i="43712"/>
  <c r="P16" i="43712"/>
  <c r="O16" i="43712"/>
  <c r="K16" i="43712"/>
  <c r="G16" i="43712"/>
  <c r="P15" i="43712"/>
  <c r="O15" i="43712"/>
  <c r="K15" i="43712"/>
  <c r="G15" i="43712"/>
  <c r="P14" i="43712"/>
  <c r="O14" i="43712"/>
  <c r="K14" i="43712"/>
  <c r="G14" i="43712"/>
  <c r="G18" i="43711"/>
  <c r="K24" i="43711"/>
  <c r="G24" i="43711"/>
  <c r="K22" i="43711"/>
  <c r="G22" i="43711"/>
  <c r="K21" i="43711"/>
  <c r="G21" i="43711"/>
  <c r="G20" i="43711"/>
  <c r="K18" i="43711"/>
  <c r="K17" i="43711"/>
  <c r="K15" i="43711"/>
  <c r="G15" i="43711"/>
  <c r="K14" i="43711"/>
  <c r="K13" i="43711"/>
  <c r="K12" i="43711"/>
  <c r="K11" i="43711"/>
  <c r="G12" i="43711"/>
  <c r="K16" i="43711"/>
  <c r="K19" i="43711"/>
  <c r="K20" i="43711"/>
  <c r="K23" i="43711"/>
  <c r="K25" i="43711"/>
  <c r="G25" i="43711"/>
  <c r="G23" i="43711"/>
  <c r="G19" i="43711"/>
  <c r="G17" i="43711"/>
  <c r="G16" i="43711"/>
  <c r="G14" i="43711"/>
  <c r="G13" i="43711"/>
  <c r="G11" i="43711"/>
  <c r="P18" i="43711"/>
  <c r="P25" i="43711"/>
  <c r="O25" i="43711"/>
  <c r="P24" i="43711"/>
  <c r="O24" i="43711"/>
  <c r="P23" i="43711"/>
  <c r="O23" i="43711"/>
  <c r="P22" i="43711"/>
  <c r="O22" i="43711"/>
  <c r="P21" i="43711"/>
  <c r="O21" i="43711"/>
  <c r="P20" i="43711"/>
  <c r="O20" i="43711"/>
  <c r="P19" i="43711"/>
  <c r="O19" i="43711"/>
  <c r="P17" i="43711"/>
  <c r="O17" i="43711"/>
  <c r="P16" i="43711"/>
  <c r="O16" i="43711"/>
  <c r="P15" i="43711"/>
  <c r="O15" i="43711"/>
  <c r="O11" i="43711"/>
  <c r="O12" i="43711"/>
  <c r="O13" i="43711"/>
  <c r="O14" i="43711"/>
  <c r="P14" i="43711"/>
  <c r="P13" i="43711"/>
  <c r="O4" i="43709"/>
  <c r="P11" i="43711"/>
  <c r="P12" i="43711"/>
</calcChain>
</file>

<file path=xl/sharedStrings.xml><?xml version="1.0" encoding="utf-8"?>
<sst xmlns="http://schemas.openxmlformats.org/spreadsheetml/2006/main" count="4192" uniqueCount="1272">
  <si>
    <t>VESSEL</t>
    <phoneticPr fontId="2"/>
  </si>
  <si>
    <t xml:space="preserve">  ＜略記コード＞</t>
    <rPh sb="3" eb="4">
      <t>リャク</t>
    </rPh>
    <rPh sb="4" eb="5">
      <t>キ</t>
    </rPh>
    <phoneticPr fontId="2"/>
  </si>
  <si>
    <t>日本国際輸送株式会社　本牧倉庫H/W</t>
    <phoneticPr fontId="2"/>
  </si>
  <si>
    <t>横浜市中区本牧埠頭3番地　　　　　</t>
    <phoneticPr fontId="2"/>
  </si>
  <si>
    <t>VOY</t>
    <phoneticPr fontId="2"/>
  </si>
  <si>
    <t>CFS CUT</t>
    <phoneticPr fontId="2"/>
  </si>
  <si>
    <t>ETD</t>
    <phoneticPr fontId="2"/>
  </si>
  <si>
    <t>ETA</t>
    <phoneticPr fontId="2"/>
  </si>
  <si>
    <t>DUBAI</t>
    <phoneticPr fontId="2"/>
  </si>
  <si>
    <t>SHJ</t>
    <phoneticPr fontId="2"/>
  </si>
  <si>
    <t>BND</t>
    <phoneticPr fontId="2"/>
  </si>
  <si>
    <t>DMN</t>
    <phoneticPr fontId="2"/>
  </si>
  <si>
    <t>JED</t>
    <phoneticPr fontId="2"/>
  </si>
  <si>
    <t>CFS　:　横浜受け  （バンニング場所）</t>
    <phoneticPr fontId="2"/>
  </si>
  <si>
    <t>NACCS : 2EW99</t>
    <phoneticPr fontId="2"/>
  </si>
  <si>
    <t>TEL: 045-623-7232　FAX:045-623-7238</t>
    <phoneticPr fontId="2"/>
  </si>
  <si>
    <t>"仕向地" "本船名" "BOOKING NO." "マリーンスター扱い"</t>
    <rPh sb="1" eb="4">
      <t>シムケチ</t>
    </rPh>
    <rPh sb="7" eb="9">
      <t>ホンセン</t>
    </rPh>
    <rPh sb="9" eb="10">
      <t>ナ</t>
    </rPh>
    <rPh sb="34" eb="35">
      <t>アツカ</t>
    </rPh>
    <phoneticPr fontId="2"/>
  </si>
  <si>
    <t>SHJ   SHARJAH</t>
    <phoneticPr fontId="2"/>
  </si>
  <si>
    <t>BND   BANDAR ABBAS</t>
    <phoneticPr fontId="2"/>
  </si>
  <si>
    <t>DMN   DAMMAM</t>
    <phoneticPr fontId="2"/>
  </si>
  <si>
    <t>JED   JEDDAH</t>
    <phoneticPr fontId="2"/>
  </si>
  <si>
    <t>※D/Rはカット当日午後4時までに送信頂けますようお願い致します。</t>
    <rPh sb="8" eb="10">
      <t>トウジツ</t>
    </rPh>
    <rPh sb="10" eb="12">
      <t>ゴゴ</t>
    </rPh>
    <rPh sb="13" eb="14">
      <t>ジ</t>
    </rPh>
    <rPh sb="17" eb="19">
      <t>ソウシン</t>
    </rPh>
    <rPh sb="19" eb="20">
      <t>イタダ</t>
    </rPh>
    <rPh sb="26" eb="27">
      <t>ネガ</t>
    </rPh>
    <rPh sb="28" eb="29">
      <t>イタ</t>
    </rPh>
    <phoneticPr fontId="2"/>
  </si>
  <si>
    <t>BUSAN</t>
    <phoneticPr fontId="2"/>
  </si>
  <si>
    <t>OHYA SHIPPING CO.,LTD.</t>
    <phoneticPr fontId="2"/>
  </si>
  <si>
    <t>TEL : 03-3523-5755</t>
    <phoneticPr fontId="2"/>
  </si>
  <si>
    <t>FAX : 03-6733-8533</t>
    <phoneticPr fontId="2"/>
  </si>
  <si>
    <t>http://ohyashipping.com/</t>
    <phoneticPr fontId="2"/>
  </si>
  <si>
    <t>B.ABBAS (LCL)</t>
    <phoneticPr fontId="2"/>
  </si>
  <si>
    <t xml:space="preserve"> </t>
    <phoneticPr fontId="2"/>
  </si>
  <si>
    <t xml:space="preserve">  </t>
    <phoneticPr fontId="2"/>
  </si>
  <si>
    <t>-20</t>
    <phoneticPr fontId="2"/>
  </si>
  <si>
    <t>-22</t>
    <phoneticPr fontId="2"/>
  </si>
  <si>
    <t>★B/Lはマリンスター扱いになります。  マリンスターのドックレシートをお使いください。</t>
    <phoneticPr fontId="2"/>
  </si>
  <si>
    <t>　</t>
    <phoneticPr fontId="2"/>
  </si>
  <si>
    <t>　　　　</t>
    <phoneticPr fontId="2"/>
  </si>
  <si>
    <t>大阪・神戸</t>
    <rPh sb="0" eb="2">
      <t>オオサカ</t>
    </rPh>
    <rPh sb="3" eb="5">
      <t>コウベ</t>
    </rPh>
    <phoneticPr fontId="2"/>
  </si>
  <si>
    <t>OSAKA</t>
    <phoneticPr fontId="2"/>
  </si>
  <si>
    <t>-25</t>
    <phoneticPr fontId="2"/>
  </si>
  <si>
    <t>-27</t>
    <phoneticPr fontId="2"/>
  </si>
  <si>
    <t>-4</t>
    <phoneticPr fontId="2"/>
  </si>
  <si>
    <t>-6</t>
    <phoneticPr fontId="2"/>
  </si>
  <si>
    <t>-8</t>
    <phoneticPr fontId="2"/>
  </si>
  <si>
    <t>-11</t>
    <phoneticPr fontId="2"/>
  </si>
  <si>
    <t>-13</t>
    <phoneticPr fontId="2"/>
  </si>
  <si>
    <t>-15</t>
    <phoneticPr fontId="2"/>
  </si>
  <si>
    <t>-18</t>
    <phoneticPr fontId="2"/>
  </si>
  <si>
    <t>-29</t>
    <phoneticPr fontId="2"/>
  </si>
  <si>
    <t>-1</t>
    <phoneticPr fontId="2"/>
  </si>
  <si>
    <t>-3</t>
    <phoneticPr fontId="2"/>
  </si>
  <si>
    <t>-5</t>
    <phoneticPr fontId="2"/>
  </si>
  <si>
    <t>CFS　:　貨物搬入場所</t>
    <rPh sb="6" eb="8">
      <t>カモツ</t>
    </rPh>
    <rPh sb="8" eb="10">
      <t>ハンニュウ</t>
    </rPh>
    <rPh sb="10" eb="12">
      <t>バショ</t>
    </rPh>
    <phoneticPr fontId="2"/>
  </si>
  <si>
    <t>TOKYO</t>
    <phoneticPr fontId="2"/>
  </si>
  <si>
    <t>YOKOHAMA</t>
    <phoneticPr fontId="2"/>
  </si>
  <si>
    <t>PACIFIC BEIJING</t>
    <phoneticPr fontId="2"/>
  </si>
  <si>
    <t>1842W</t>
    <phoneticPr fontId="2"/>
  </si>
  <si>
    <t>東京・横浜</t>
    <rPh sb="0" eb="2">
      <t>トウキョウ</t>
    </rPh>
    <rPh sb="3" eb="5">
      <t>ヨコハマ</t>
    </rPh>
    <phoneticPr fontId="2"/>
  </si>
  <si>
    <t>POS TOKYO</t>
    <phoneticPr fontId="2"/>
  </si>
  <si>
    <t>DONGJIN ENTERPRISE</t>
    <phoneticPr fontId="2"/>
  </si>
  <si>
    <t>1153W</t>
    <phoneticPr fontId="2"/>
  </si>
  <si>
    <t>1843W</t>
    <phoneticPr fontId="2"/>
  </si>
  <si>
    <t>-12</t>
    <phoneticPr fontId="2"/>
  </si>
  <si>
    <t>1154W</t>
    <phoneticPr fontId="2"/>
  </si>
  <si>
    <t>1844W</t>
    <phoneticPr fontId="2"/>
  </si>
  <si>
    <t>-19</t>
    <phoneticPr fontId="2"/>
  </si>
  <si>
    <t>SKY VICTORIA</t>
    <phoneticPr fontId="2"/>
  </si>
  <si>
    <t>1001W</t>
    <phoneticPr fontId="2"/>
  </si>
  <si>
    <t>1845W</t>
    <phoneticPr fontId="2"/>
  </si>
  <si>
    <t>-2</t>
    <phoneticPr fontId="2"/>
  </si>
  <si>
    <t>1002W</t>
    <phoneticPr fontId="2"/>
  </si>
  <si>
    <t>-26</t>
    <phoneticPr fontId="2"/>
  </si>
  <si>
    <t>1846W</t>
    <phoneticPr fontId="2"/>
  </si>
  <si>
    <t>1913N</t>
    <phoneticPr fontId="2"/>
  </si>
  <si>
    <t>1003W</t>
    <phoneticPr fontId="2"/>
  </si>
  <si>
    <t>1910N</t>
    <phoneticPr fontId="2"/>
  </si>
  <si>
    <t>1911N</t>
    <phoneticPr fontId="2"/>
  </si>
  <si>
    <t>1912N</t>
    <phoneticPr fontId="2"/>
  </si>
  <si>
    <t>1914N</t>
    <phoneticPr fontId="2"/>
  </si>
  <si>
    <t>TOKYO :</t>
    <phoneticPr fontId="2"/>
  </si>
  <si>
    <t>日本国際輸送株式会社　城南島倉庫H/W</t>
    <rPh sb="0" eb="2">
      <t>ニホン</t>
    </rPh>
    <rPh sb="2" eb="4">
      <t>コクサイ</t>
    </rPh>
    <rPh sb="4" eb="6">
      <t>ユソウ</t>
    </rPh>
    <rPh sb="6" eb="8">
      <t>カブシキ</t>
    </rPh>
    <rPh sb="8" eb="10">
      <t>カイシャ</t>
    </rPh>
    <rPh sb="11" eb="14">
      <t>ジョウナンジマ</t>
    </rPh>
    <rPh sb="14" eb="16">
      <t>ソウコ</t>
    </rPh>
    <phoneticPr fontId="2"/>
  </si>
  <si>
    <t>東京都大田区城南島2-8-5</t>
    <rPh sb="0" eb="3">
      <t>トウキョウト</t>
    </rPh>
    <rPh sb="3" eb="6">
      <t>オオタク</t>
    </rPh>
    <rPh sb="6" eb="9">
      <t>ジョウナンジマ</t>
    </rPh>
    <phoneticPr fontId="2"/>
  </si>
  <si>
    <t>TEL:03-3790-0809  FAX:03-5755-1222</t>
    <phoneticPr fontId="2"/>
  </si>
  <si>
    <t>NACCS : 1FWK3</t>
    <phoneticPr fontId="2"/>
  </si>
  <si>
    <t>YOKOHAMA :</t>
    <phoneticPr fontId="2"/>
  </si>
  <si>
    <t>日本国際輸送株式会社　本牧倉庫H/W</t>
    <rPh sb="0" eb="2">
      <t>ニホン</t>
    </rPh>
    <rPh sb="2" eb="4">
      <t>コクサイ</t>
    </rPh>
    <rPh sb="4" eb="6">
      <t>ユソウ</t>
    </rPh>
    <rPh sb="6" eb="8">
      <t>カブシキ</t>
    </rPh>
    <rPh sb="8" eb="10">
      <t>カイシャ</t>
    </rPh>
    <rPh sb="11" eb="13">
      <t>ホンモク</t>
    </rPh>
    <rPh sb="13" eb="15">
      <t>ソウコ</t>
    </rPh>
    <phoneticPr fontId="2"/>
  </si>
  <si>
    <t>TEL:045-623-7232  FAX:045-623-7238</t>
    <phoneticPr fontId="2"/>
  </si>
  <si>
    <t>＊</t>
    <phoneticPr fontId="2"/>
  </si>
  <si>
    <t>4月1日以降のカット本船より</t>
    <rPh sb="1" eb="2">
      <t>ガツ</t>
    </rPh>
    <rPh sb="3" eb="4">
      <t>ニチ</t>
    </rPh>
    <rPh sb="4" eb="6">
      <t>イコウ</t>
    </rPh>
    <rPh sb="10" eb="12">
      <t>ホンセン</t>
    </rPh>
    <phoneticPr fontId="2"/>
  </si>
  <si>
    <t>日本国際輸送株式会社　ロジスティクスセンター</t>
    <rPh sb="0" eb="2">
      <t>ニホン</t>
    </rPh>
    <rPh sb="2" eb="4">
      <t>コクサイ</t>
    </rPh>
    <rPh sb="4" eb="6">
      <t>ユソウ</t>
    </rPh>
    <rPh sb="6" eb="8">
      <t>カブシキ</t>
    </rPh>
    <rPh sb="8" eb="10">
      <t>カイシャ</t>
    </rPh>
    <phoneticPr fontId="2"/>
  </si>
  <si>
    <t>神奈川県横浜市中区本牧埠頭3番地</t>
    <rPh sb="0" eb="4">
      <t>カナガワケン</t>
    </rPh>
    <rPh sb="4" eb="7">
      <t>ヨコハマシ</t>
    </rPh>
    <rPh sb="7" eb="9">
      <t>ナカク</t>
    </rPh>
    <rPh sb="9" eb="11">
      <t>ホンモク</t>
    </rPh>
    <rPh sb="11" eb="13">
      <t>フトウ</t>
    </rPh>
    <rPh sb="14" eb="16">
      <t>バンチ</t>
    </rPh>
    <phoneticPr fontId="2"/>
  </si>
  <si>
    <t>神奈川県横浜市中区本牧埠頭3-3-13</t>
    <rPh sb="0" eb="4">
      <t>カナガワケン</t>
    </rPh>
    <rPh sb="4" eb="7">
      <t>ヨコハマシ</t>
    </rPh>
    <rPh sb="7" eb="9">
      <t>ナカク</t>
    </rPh>
    <rPh sb="9" eb="11">
      <t>ホンモク</t>
    </rPh>
    <rPh sb="11" eb="13">
      <t>フトウ</t>
    </rPh>
    <phoneticPr fontId="2"/>
  </si>
  <si>
    <t>TEL:045-628-2217  FAX:045-628-4148</t>
    <phoneticPr fontId="2"/>
  </si>
  <si>
    <t>NACCS : 2EWＲ6</t>
    <phoneticPr fontId="2"/>
  </si>
  <si>
    <t>1847W</t>
    <phoneticPr fontId="2"/>
  </si>
  <si>
    <t>1004W</t>
    <phoneticPr fontId="2"/>
  </si>
  <si>
    <t>1915N</t>
    <phoneticPr fontId="2"/>
  </si>
  <si>
    <t>1848W</t>
    <phoneticPr fontId="2"/>
  </si>
  <si>
    <t>1005W</t>
    <phoneticPr fontId="2"/>
  </si>
  <si>
    <t>1916N</t>
    <phoneticPr fontId="2"/>
  </si>
  <si>
    <t>1849W</t>
    <phoneticPr fontId="2"/>
  </si>
  <si>
    <t>1006W</t>
    <phoneticPr fontId="2"/>
  </si>
  <si>
    <t>1917N</t>
    <phoneticPr fontId="2"/>
  </si>
  <si>
    <t>1850W</t>
    <phoneticPr fontId="2"/>
  </si>
  <si>
    <t>-9</t>
    <phoneticPr fontId="2"/>
  </si>
  <si>
    <t>-16</t>
    <phoneticPr fontId="2"/>
  </si>
  <si>
    <t>-23</t>
    <phoneticPr fontId="2"/>
  </si>
  <si>
    <t>-10</t>
    <phoneticPr fontId="2"/>
  </si>
  <si>
    <t>-17</t>
    <phoneticPr fontId="2"/>
  </si>
  <si>
    <t>-24</t>
    <phoneticPr fontId="2"/>
  </si>
  <si>
    <t>-30</t>
    <phoneticPr fontId="2"/>
  </si>
  <si>
    <t>1919N</t>
    <phoneticPr fontId="2"/>
  </si>
  <si>
    <t>1852W</t>
    <phoneticPr fontId="2"/>
  </si>
  <si>
    <t>1009W</t>
    <phoneticPr fontId="2"/>
  </si>
  <si>
    <t>1920N</t>
    <phoneticPr fontId="2"/>
  </si>
  <si>
    <t>1853W</t>
    <phoneticPr fontId="2"/>
  </si>
  <si>
    <t>1010W</t>
    <phoneticPr fontId="2"/>
  </si>
  <si>
    <t>1921N</t>
    <phoneticPr fontId="2"/>
  </si>
  <si>
    <t>1854W</t>
    <phoneticPr fontId="2"/>
  </si>
  <si>
    <t>1011W</t>
    <phoneticPr fontId="2"/>
  </si>
  <si>
    <t>1922N</t>
    <phoneticPr fontId="2"/>
  </si>
  <si>
    <t>-14</t>
    <phoneticPr fontId="2"/>
  </si>
  <si>
    <t>-21</t>
    <phoneticPr fontId="2"/>
  </si>
  <si>
    <t>-28</t>
    <phoneticPr fontId="2"/>
  </si>
  <si>
    <t>-31</t>
    <phoneticPr fontId="2"/>
  </si>
  <si>
    <t>※　送り状には下記内容を明記して頂けますようお願い致します。</t>
    <rPh sb="2" eb="3">
      <t>オク</t>
    </rPh>
    <rPh sb="4" eb="5">
      <t>ジョウ</t>
    </rPh>
    <rPh sb="7" eb="9">
      <t>カキ</t>
    </rPh>
    <rPh sb="9" eb="11">
      <t>ナイヨウ</t>
    </rPh>
    <rPh sb="12" eb="14">
      <t>メイキ</t>
    </rPh>
    <rPh sb="16" eb="17">
      <t>イタダ</t>
    </rPh>
    <rPh sb="23" eb="24">
      <t>ネガイ</t>
    </rPh>
    <rPh sb="25" eb="26">
      <t>タ</t>
    </rPh>
    <phoneticPr fontId="2"/>
  </si>
  <si>
    <t>　　"仕向地" "本船名" "BOOKING NO." "マリーンスター扱い"</t>
    <rPh sb="3" eb="6">
      <t>シムケチ</t>
    </rPh>
    <rPh sb="9" eb="11">
      <t>ホンセン</t>
    </rPh>
    <rPh sb="11" eb="12">
      <t>ナ</t>
    </rPh>
    <rPh sb="36" eb="37">
      <t>アツカ</t>
    </rPh>
    <phoneticPr fontId="2"/>
  </si>
  <si>
    <t>※　輸出貨物には、必ずシッピングマークを添付してご搬入お願い致します。</t>
    <rPh sb="2" eb="4">
      <t>ユシュツ</t>
    </rPh>
    <rPh sb="4" eb="6">
      <t>カモツ</t>
    </rPh>
    <rPh sb="9" eb="10">
      <t>カナラ</t>
    </rPh>
    <rPh sb="20" eb="22">
      <t>テンプ</t>
    </rPh>
    <rPh sb="25" eb="27">
      <t>ハンニュウ</t>
    </rPh>
    <rPh sb="28" eb="29">
      <t>ネガイ</t>
    </rPh>
    <rPh sb="30" eb="31">
      <t>タ</t>
    </rPh>
    <phoneticPr fontId="2"/>
  </si>
  <si>
    <t>※　ドックレシートは マリーンスターをご利用下さい。</t>
    <rPh sb="20" eb="22">
      <t>リヨウ</t>
    </rPh>
    <rPh sb="22" eb="23">
      <t>クダ</t>
    </rPh>
    <phoneticPr fontId="2"/>
  </si>
  <si>
    <t>6/</t>
    <phoneticPr fontId="2"/>
  </si>
  <si>
    <t>6-7</t>
    <phoneticPr fontId="2"/>
  </si>
  <si>
    <t>13-14</t>
    <phoneticPr fontId="2"/>
  </si>
  <si>
    <t>20-21</t>
    <phoneticPr fontId="2"/>
  </si>
  <si>
    <t>4</t>
    <phoneticPr fontId="2"/>
  </si>
  <si>
    <t>11</t>
    <phoneticPr fontId="2"/>
  </si>
  <si>
    <t>18</t>
    <phoneticPr fontId="2"/>
  </si>
  <si>
    <t>25</t>
    <phoneticPr fontId="2"/>
  </si>
  <si>
    <t>HONG KONG</t>
    <phoneticPr fontId="2"/>
  </si>
  <si>
    <t>6</t>
    <phoneticPr fontId="2"/>
  </si>
  <si>
    <t>7/</t>
    <phoneticPr fontId="2"/>
  </si>
  <si>
    <t>13</t>
    <phoneticPr fontId="2"/>
  </si>
  <si>
    <t>20</t>
    <phoneticPr fontId="2"/>
  </si>
  <si>
    <t>27</t>
    <phoneticPr fontId="2"/>
  </si>
  <si>
    <t>8/</t>
    <phoneticPr fontId="2"/>
  </si>
  <si>
    <t>1</t>
    <phoneticPr fontId="2"/>
  </si>
  <si>
    <t>BND : BANDAR ABBAS</t>
    <phoneticPr fontId="2"/>
  </si>
  <si>
    <t>　　"仕向地" "本船名" "BOOKING NO." "IEC扱い"</t>
    <rPh sb="3" eb="6">
      <t>シムケチ</t>
    </rPh>
    <rPh sb="9" eb="11">
      <t>ホンセン</t>
    </rPh>
    <rPh sb="11" eb="12">
      <t>ナ</t>
    </rPh>
    <rPh sb="32" eb="33">
      <t>アツカ</t>
    </rPh>
    <phoneticPr fontId="2"/>
  </si>
  <si>
    <t>東京</t>
    <rPh sb="0" eb="2">
      <t>トウキョウ</t>
    </rPh>
    <phoneticPr fontId="2"/>
  </si>
  <si>
    <t>※　ドックレシートは OOCL をご利用下さい。</t>
    <rPh sb="18" eb="20">
      <t>リヨウ</t>
    </rPh>
    <rPh sb="20" eb="21">
      <t>クダ</t>
    </rPh>
    <phoneticPr fontId="2"/>
  </si>
  <si>
    <t>OOCL BRISBANE</t>
    <phoneticPr fontId="2"/>
  </si>
  <si>
    <t>OOCL ZHOUSHAN</t>
    <phoneticPr fontId="2"/>
  </si>
  <si>
    <t>OOCL NEW ZELAND</t>
    <phoneticPr fontId="2"/>
  </si>
  <si>
    <t>203S</t>
    <phoneticPr fontId="2"/>
  </si>
  <si>
    <t>2</t>
    <phoneticPr fontId="2"/>
  </si>
  <si>
    <t>27-28</t>
    <phoneticPr fontId="2"/>
  </si>
  <si>
    <t>インターナショナルエクスプレス　東京営業所(OLC)</t>
    <rPh sb="16" eb="18">
      <t>トウキョウ</t>
    </rPh>
    <rPh sb="18" eb="21">
      <t>エイギョウショ</t>
    </rPh>
    <phoneticPr fontId="2"/>
  </si>
  <si>
    <t>NACCS: 1FW04</t>
    <phoneticPr fontId="2"/>
  </si>
  <si>
    <t>東京都大田区東海4-9-12</t>
    <rPh sb="0" eb="3">
      <t>トウキョウト</t>
    </rPh>
    <rPh sb="3" eb="6">
      <t>オオタク</t>
    </rPh>
    <rPh sb="6" eb="8">
      <t>トウカイ</t>
    </rPh>
    <phoneticPr fontId="2"/>
  </si>
  <si>
    <t xml:space="preserve">TEL : 03-3790-5311 </t>
    <phoneticPr fontId="2"/>
  </si>
  <si>
    <t>FAX : 03-3790-5314</t>
    <phoneticPr fontId="2"/>
  </si>
  <si>
    <t>177S</t>
    <phoneticPr fontId="2"/>
  </si>
  <si>
    <t>204S</t>
    <phoneticPr fontId="2"/>
  </si>
  <si>
    <t>076S</t>
    <phoneticPr fontId="2"/>
  </si>
  <si>
    <t>OOCL NEW ZEALAND</t>
    <phoneticPr fontId="2"/>
  </si>
  <si>
    <t>077S</t>
    <phoneticPr fontId="2"/>
  </si>
  <si>
    <t>178S</t>
    <phoneticPr fontId="2"/>
  </si>
  <si>
    <t>205S</t>
    <phoneticPr fontId="2"/>
  </si>
  <si>
    <t>078S</t>
    <phoneticPr fontId="2"/>
  </si>
  <si>
    <t>4-5</t>
    <phoneticPr fontId="2"/>
  </si>
  <si>
    <t>11-12</t>
    <phoneticPr fontId="2"/>
  </si>
  <si>
    <t>18-19</t>
    <phoneticPr fontId="2"/>
  </si>
  <si>
    <t>25-26</t>
    <phoneticPr fontId="2"/>
  </si>
  <si>
    <t>9</t>
    <phoneticPr fontId="2"/>
  </si>
  <si>
    <t>16</t>
    <phoneticPr fontId="2"/>
  </si>
  <si>
    <t>23</t>
    <phoneticPr fontId="2"/>
  </si>
  <si>
    <t>30</t>
    <phoneticPr fontId="2"/>
  </si>
  <si>
    <t>3</t>
    <phoneticPr fontId="2"/>
  </si>
  <si>
    <t>10</t>
    <phoneticPr fontId="2"/>
  </si>
  <si>
    <t>17</t>
    <phoneticPr fontId="2"/>
  </si>
  <si>
    <t>24</t>
    <phoneticPr fontId="2"/>
  </si>
  <si>
    <t>8</t>
    <phoneticPr fontId="2"/>
  </si>
  <si>
    <t>15</t>
    <phoneticPr fontId="2"/>
  </si>
  <si>
    <t>22</t>
    <phoneticPr fontId="2"/>
  </si>
  <si>
    <t>29</t>
    <phoneticPr fontId="2"/>
  </si>
  <si>
    <t>179S</t>
    <phoneticPr fontId="2"/>
  </si>
  <si>
    <t>9/</t>
    <phoneticPr fontId="2"/>
  </si>
  <si>
    <t>5</t>
    <phoneticPr fontId="2"/>
  </si>
  <si>
    <t>31</t>
    <phoneticPr fontId="2"/>
  </si>
  <si>
    <t>206S</t>
    <phoneticPr fontId="2"/>
  </si>
  <si>
    <t>079S</t>
    <phoneticPr fontId="2"/>
  </si>
  <si>
    <t>180S</t>
    <phoneticPr fontId="2"/>
  </si>
  <si>
    <t>207S</t>
    <phoneticPr fontId="2"/>
  </si>
  <si>
    <t>　</t>
  </si>
  <si>
    <t>20</t>
  </si>
  <si>
    <t>9/</t>
  </si>
  <si>
    <t>12</t>
    <phoneticPr fontId="2"/>
  </si>
  <si>
    <t>19</t>
    <phoneticPr fontId="2"/>
  </si>
  <si>
    <t>26</t>
    <phoneticPr fontId="2"/>
  </si>
  <si>
    <t>10/</t>
    <phoneticPr fontId="2"/>
  </si>
  <si>
    <t>7</t>
    <phoneticPr fontId="2"/>
  </si>
  <si>
    <t>14</t>
    <phoneticPr fontId="2"/>
  </si>
  <si>
    <t>21</t>
    <phoneticPr fontId="2"/>
  </si>
  <si>
    <t>28</t>
    <phoneticPr fontId="2"/>
  </si>
  <si>
    <t>OOCL LE HAVRE</t>
    <phoneticPr fontId="2"/>
  </si>
  <si>
    <t>111S</t>
    <phoneticPr fontId="2"/>
  </si>
  <si>
    <t>181S</t>
    <phoneticPr fontId="2"/>
  </si>
  <si>
    <t>208S</t>
    <phoneticPr fontId="2"/>
  </si>
  <si>
    <t>112S</t>
    <phoneticPr fontId="2"/>
  </si>
  <si>
    <t>182S</t>
    <phoneticPr fontId="2"/>
  </si>
  <si>
    <t>209S</t>
    <phoneticPr fontId="2"/>
  </si>
  <si>
    <t>113S</t>
    <phoneticPr fontId="2"/>
  </si>
  <si>
    <t>183S</t>
    <phoneticPr fontId="2"/>
  </si>
  <si>
    <t>11/</t>
    <phoneticPr fontId="2"/>
  </si>
  <si>
    <t xml:space="preserve">OOCL ZHOUSHAN </t>
    <phoneticPr fontId="2"/>
  </si>
  <si>
    <t>210S</t>
    <phoneticPr fontId="2"/>
  </si>
  <si>
    <t>11/5</t>
    <phoneticPr fontId="2"/>
  </si>
  <si>
    <t>11/30</t>
    <phoneticPr fontId="2"/>
  </si>
  <si>
    <t>12/5</t>
    <phoneticPr fontId="2"/>
  </si>
  <si>
    <t xml:space="preserve">OOCL LE HAVRE </t>
    <phoneticPr fontId="2"/>
  </si>
  <si>
    <t>114S</t>
    <phoneticPr fontId="2"/>
  </si>
  <si>
    <t>31-1</t>
    <phoneticPr fontId="2"/>
  </si>
  <si>
    <t>7-8</t>
    <phoneticPr fontId="2"/>
  </si>
  <si>
    <t>11/12</t>
    <phoneticPr fontId="2"/>
  </si>
  <si>
    <t>12/7</t>
    <phoneticPr fontId="2"/>
  </si>
  <si>
    <t>12/12</t>
    <phoneticPr fontId="2"/>
  </si>
  <si>
    <t>184S</t>
    <phoneticPr fontId="2"/>
  </si>
  <si>
    <t>14-15</t>
    <phoneticPr fontId="2"/>
  </si>
  <si>
    <t>11/19</t>
    <phoneticPr fontId="2"/>
  </si>
  <si>
    <t>12/14</t>
    <phoneticPr fontId="2"/>
  </si>
  <si>
    <t>12/19</t>
    <phoneticPr fontId="2"/>
  </si>
  <si>
    <t>211S</t>
    <phoneticPr fontId="2"/>
  </si>
  <si>
    <t>21-22</t>
    <phoneticPr fontId="2"/>
  </si>
  <si>
    <t>11/26</t>
    <phoneticPr fontId="2"/>
  </si>
  <si>
    <t>12/21</t>
    <phoneticPr fontId="2"/>
  </si>
  <si>
    <t>12/25</t>
    <phoneticPr fontId="2"/>
  </si>
  <si>
    <t>115S</t>
    <phoneticPr fontId="2"/>
  </si>
  <si>
    <t>28-29</t>
    <phoneticPr fontId="2"/>
  </si>
  <si>
    <t>12/3</t>
    <phoneticPr fontId="2"/>
  </si>
  <si>
    <t>12/28</t>
    <phoneticPr fontId="2"/>
  </si>
  <si>
    <t>1/2</t>
    <phoneticPr fontId="2"/>
  </si>
  <si>
    <t>OOCL NEW YORK</t>
    <phoneticPr fontId="2"/>
  </si>
  <si>
    <t>064S</t>
    <phoneticPr fontId="2"/>
  </si>
  <si>
    <t>12/</t>
    <phoneticPr fontId="2"/>
  </si>
  <si>
    <t>5-6</t>
    <phoneticPr fontId="2"/>
  </si>
  <si>
    <t>212S</t>
    <phoneticPr fontId="2"/>
  </si>
  <si>
    <t>12-13</t>
    <phoneticPr fontId="2"/>
  </si>
  <si>
    <t>OOCL CHARLESTON</t>
    <phoneticPr fontId="2"/>
  </si>
  <si>
    <t>176S</t>
    <phoneticPr fontId="2"/>
  </si>
  <si>
    <t>19-20</t>
    <phoneticPr fontId="2"/>
  </si>
  <si>
    <t>065S</t>
    <phoneticPr fontId="2"/>
  </si>
  <si>
    <t>26-27</t>
    <phoneticPr fontId="2"/>
  </si>
  <si>
    <t>1/</t>
    <phoneticPr fontId="2"/>
  </si>
  <si>
    <t>9-10</t>
    <phoneticPr fontId="2"/>
  </si>
  <si>
    <t>2/</t>
    <phoneticPr fontId="2"/>
  </si>
  <si>
    <t>121S</t>
    <phoneticPr fontId="2"/>
  </si>
  <si>
    <t>16-17</t>
    <phoneticPr fontId="2"/>
  </si>
  <si>
    <t>214S</t>
    <phoneticPr fontId="2"/>
  </si>
  <si>
    <t>23-24</t>
    <phoneticPr fontId="2"/>
  </si>
  <si>
    <t>30-31</t>
    <phoneticPr fontId="2"/>
  </si>
  <si>
    <t>3/</t>
    <phoneticPr fontId="2"/>
  </si>
  <si>
    <t>122S</t>
    <phoneticPr fontId="2"/>
  </si>
  <si>
    <t>215S</t>
    <phoneticPr fontId="2"/>
  </si>
  <si>
    <t>123S</t>
    <phoneticPr fontId="2"/>
  </si>
  <si>
    <t>4/</t>
    <phoneticPr fontId="2"/>
  </si>
  <si>
    <t>216S</t>
    <phoneticPr fontId="2"/>
  </si>
  <si>
    <t>124S</t>
    <phoneticPr fontId="2"/>
  </si>
  <si>
    <t>217S</t>
    <phoneticPr fontId="2"/>
  </si>
  <si>
    <t>2-3</t>
    <phoneticPr fontId="2"/>
  </si>
  <si>
    <t>125S</t>
    <phoneticPr fontId="2"/>
  </si>
  <si>
    <t>218S</t>
    <phoneticPr fontId="2"/>
  </si>
  <si>
    <t>126S</t>
    <phoneticPr fontId="2"/>
  </si>
  <si>
    <t>30-1</t>
    <phoneticPr fontId="2"/>
  </si>
  <si>
    <t>5/</t>
    <phoneticPr fontId="2"/>
  </si>
  <si>
    <t xml:space="preserve">POS YOKOHAMA </t>
    <phoneticPr fontId="2"/>
  </si>
  <si>
    <t>1285W</t>
    <phoneticPr fontId="2"/>
  </si>
  <si>
    <t>1286W</t>
    <phoneticPr fontId="2"/>
  </si>
  <si>
    <t>1287W</t>
    <phoneticPr fontId="2"/>
  </si>
  <si>
    <t>1288W</t>
    <phoneticPr fontId="2"/>
  </si>
  <si>
    <t xml:space="preserve">    NO SERVICE</t>
    <phoneticPr fontId="2"/>
  </si>
  <si>
    <t>TEL: 03-3523-5755</t>
    <phoneticPr fontId="2"/>
  </si>
  <si>
    <t>FAX: 03-5733-8533</t>
    <phoneticPr fontId="2"/>
  </si>
  <si>
    <t>POS YOKOHAMA</t>
  </si>
  <si>
    <t>DONGJIN VENUS</t>
  </si>
  <si>
    <t>PACIFIC BEIJING</t>
  </si>
  <si>
    <t>1289W</t>
  </si>
  <si>
    <t>1-2</t>
  </si>
  <si>
    <t>0035N</t>
  </si>
  <si>
    <t>4</t>
  </si>
  <si>
    <t>2036W</t>
  </si>
  <si>
    <t>7</t>
  </si>
  <si>
    <t>1290W</t>
  </si>
  <si>
    <t>8-9</t>
  </si>
  <si>
    <t>0036N</t>
  </si>
  <si>
    <t>11</t>
  </si>
  <si>
    <t>2037W</t>
  </si>
  <si>
    <t>14</t>
  </si>
  <si>
    <t>1291W</t>
  </si>
  <si>
    <t>15-16</t>
  </si>
  <si>
    <t>16</t>
  </si>
  <si>
    <t>18</t>
  </si>
  <si>
    <t>2038W</t>
  </si>
  <si>
    <t>21</t>
  </si>
  <si>
    <t>21-22</t>
  </si>
  <si>
    <t xml:space="preserve">NO SERVICE </t>
  </si>
  <si>
    <t>0038N</t>
  </si>
  <si>
    <t>0037N</t>
  </si>
  <si>
    <t>25</t>
  </si>
  <si>
    <t>2039W</t>
  </si>
  <si>
    <t>28</t>
  </si>
  <si>
    <t>28-29</t>
  </si>
  <si>
    <t>1293W</t>
  </si>
  <si>
    <t>29-30</t>
  </si>
  <si>
    <t>30</t>
  </si>
  <si>
    <t>2</t>
  </si>
  <si>
    <t>9</t>
  </si>
  <si>
    <t>14-15</t>
  </si>
  <si>
    <t>7-8</t>
  </si>
  <si>
    <t>B.ABBAS (LCL)</t>
  </si>
  <si>
    <t>2-2</t>
  </si>
  <si>
    <t>9-9</t>
  </si>
  <si>
    <t>PACIFIC BEIJING</t>
    <phoneticPr fontId="2"/>
  </si>
  <si>
    <t>2044W</t>
    <phoneticPr fontId="2"/>
  </si>
  <si>
    <t>11/</t>
    <phoneticPr fontId="2"/>
  </si>
  <si>
    <t>POS YOKOHAMA</t>
    <phoneticPr fontId="2"/>
  </si>
  <si>
    <t>1298W</t>
    <phoneticPr fontId="2"/>
  </si>
  <si>
    <t>3-4</t>
    <phoneticPr fontId="2"/>
  </si>
  <si>
    <t>4-4</t>
    <phoneticPr fontId="2"/>
  </si>
  <si>
    <t>DONGJIN CONTINENTAL</t>
    <phoneticPr fontId="2"/>
  </si>
  <si>
    <t>0044N</t>
    <phoneticPr fontId="2"/>
  </si>
  <si>
    <t>6-6</t>
    <phoneticPr fontId="2"/>
  </si>
  <si>
    <t>2045W</t>
    <phoneticPr fontId="2"/>
  </si>
  <si>
    <t>9-10</t>
    <phoneticPr fontId="2"/>
  </si>
  <si>
    <t>1299W</t>
    <phoneticPr fontId="2"/>
  </si>
  <si>
    <t>10-11</t>
    <phoneticPr fontId="2"/>
  </si>
  <si>
    <t>11-11</t>
    <phoneticPr fontId="2"/>
  </si>
  <si>
    <t>0045N</t>
    <phoneticPr fontId="2"/>
  </si>
  <si>
    <t>13-13</t>
    <phoneticPr fontId="2"/>
  </si>
  <si>
    <t>2046W</t>
    <phoneticPr fontId="2"/>
  </si>
  <si>
    <t>16-16</t>
    <phoneticPr fontId="2"/>
  </si>
  <si>
    <t>16-17</t>
    <phoneticPr fontId="2"/>
  </si>
  <si>
    <t>1300W</t>
    <phoneticPr fontId="2"/>
  </si>
  <si>
    <t>17-18</t>
    <phoneticPr fontId="2"/>
  </si>
  <si>
    <t>18-18</t>
    <phoneticPr fontId="2"/>
  </si>
  <si>
    <t>0046N</t>
    <phoneticPr fontId="2"/>
  </si>
  <si>
    <t>20-20</t>
    <phoneticPr fontId="2"/>
  </si>
  <si>
    <t>2047W</t>
    <phoneticPr fontId="2"/>
  </si>
  <si>
    <t>23-23</t>
    <phoneticPr fontId="2"/>
  </si>
  <si>
    <t>23-24</t>
    <phoneticPr fontId="2"/>
  </si>
  <si>
    <t>1301W</t>
    <phoneticPr fontId="2"/>
  </si>
  <si>
    <t>24-25</t>
    <phoneticPr fontId="2"/>
  </si>
  <si>
    <t>25-25</t>
    <phoneticPr fontId="2"/>
  </si>
  <si>
    <t>0047N</t>
    <phoneticPr fontId="2"/>
  </si>
  <si>
    <t>27-27</t>
    <phoneticPr fontId="2"/>
  </si>
  <si>
    <t>2048W</t>
    <phoneticPr fontId="2"/>
  </si>
  <si>
    <t>30-30</t>
    <phoneticPr fontId="2"/>
  </si>
  <si>
    <t>30-1</t>
    <phoneticPr fontId="2"/>
  </si>
  <si>
    <t>1302W</t>
    <phoneticPr fontId="2"/>
  </si>
  <si>
    <t>1-2</t>
    <phoneticPr fontId="2"/>
  </si>
  <si>
    <t>0048N</t>
    <phoneticPr fontId="2"/>
  </si>
  <si>
    <t>2049W</t>
    <phoneticPr fontId="2"/>
  </si>
  <si>
    <t>7-7</t>
    <phoneticPr fontId="2"/>
  </si>
  <si>
    <t>1303W</t>
    <phoneticPr fontId="2"/>
  </si>
  <si>
    <t>8-9</t>
    <phoneticPr fontId="2"/>
  </si>
  <si>
    <t>9-9</t>
    <phoneticPr fontId="2"/>
  </si>
  <si>
    <t>0049N</t>
    <phoneticPr fontId="2"/>
  </si>
  <si>
    <t>2050W</t>
    <phoneticPr fontId="2"/>
  </si>
  <si>
    <t>14-14</t>
    <phoneticPr fontId="2"/>
  </si>
  <si>
    <t>1304W</t>
    <phoneticPr fontId="2"/>
  </si>
  <si>
    <t>15-16</t>
    <phoneticPr fontId="2"/>
  </si>
  <si>
    <t>2051W</t>
    <phoneticPr fontId="2"/>
  </si>
  <si>
    <t>21-21</t>
    <phoneticPr fontId="2"/>
  </si>
  <si>
    <t>1305W</t>
    <phoneticPr fontId="2"/>
  </si>
  <si>
    <t>22-23</t>
    <phoneticPr fontId="2"/>
  </si>
  <si>
    <t>0051N</t>
    <phoneticPr fontId="2"/>
  </si>
  <si>
    <t>0050N</t>
    <phoneticPr fontId="2"/>
  </si>
  <si>
    <t>2101W</t>
    <phoneticPr fontId="2"/>
  </si>
  <si>
    <t>11-12</t>
    <phoneticPr fontId="2"/>
  </si>
  <si>
    <t>1308W</t>
    <phoneticPr fontId="2"/>
  </si>
  <si>
    <t>15-15</t>
    <phoneticPr fontId="2"/>
  </si>
  <si>
    <t>2102W</t>
    <phoneticPr fontId="2"/>
  </si>
  <si>
    <t>1/</t>
    <phoneticPr fontId="2"/>
  </si>
  <si>
    <t>18-18</t>
    <phoneticPr fontId="2"/>
  </si>
  <si>
    <t>18-19</t>
    <phoneticPr fontId="2"/>
  </si>
  <si>
    <t>1309W</t>
    <phoneticPr fontId="2"/>
  </si>
  <si>
    <t>19-20</t>
    <phoneticPr fontId="2"/>
  </si>
  <si>
    <t>20-20</t>
    <phoneticPr fontId="2"/>
  </si>
  <si>
    <t>0054N</t>
    <phoneticPr fontId="2"/>
  </si>
  <si>
    <t>0055N</t>
    <phoneticPr fontId="2"/>
  </si>
  <si>
    <t>22-22</t>
    <phoneticPr fontId="2"/>
  </si>
  <si>
    <t>2103W</t>
    <phoneticPr fontId="2"/>
  </si>
  <si>
    <t>25-25</t>
    <phoneticPr fontId="2"/>
  </si>
  <si>
    <t>25-26</t>
    <phoneticPr fontId="2"/>
  </si>
  <si>
    <t>1310W</t>
    <phoneticPr fontId="2"/>
  </si>
  <si>
    <t>26-27</t>
    <phoneticPr fontId="2"/>
  </si>
  <si>
    <t>27-27</t>
    <phoneticPr fontId="2"/>
  </si>
  <si>
    <t>0056N</t>
    <phoneticPr fontId="2"/>
  </si>
  <si>
    <t>29-29</t>
    <phoneticPr fontId="2"/>
  </si>
  <si>
    <t>2104W</t>
    <phoneticPr fontId="2"/>
  </si>
  <si>
    <t>1-1</t>
    <phoneticPr fontId="2"/>
  </si>
  <si>
    <t>1311W</t>
    <phoneticPr fontId="2"/>
  </si>
  <si>
    <t>3-3</t>
    <phoneticPr fontId="2"/>
  </si>
  <si>
    <t>0057N</t>
    <phoneticPr fontId="2"/>
  </si>
  <si>
    <t>5-5</t>
    <phoneticPr fontId="2"/>
  </si>
  <si>
    <t>2105W</t>
    <phoneticPr fontId="2"/>
  </si>
  <si>
    <t>8-8</t>
    <phoneticPr fontId="2"/>
  </si>
  <si>
    <t>1312W</t>
    <phoneticPr fontId="2"/>
  </si>
  <si>
    <t>10-10</t>
    <phoneticPr fontId="2"/>
  </si>
  <si>
    <t>0058N</t>
    <phoneticPr fontId="2"/>
  </si>
  <si>
    <t>12-12</t>
    <phoneticPr fontId="2"/>
  </si>
  <si>
    <t>2106W</t>
    <phoneticPr fontId="2"/>
  </si>
  <si>
    <t>1313W</t>
    <phoneticPr fontId="2"/>
  </si>
  <si>
    <t>17-17</t>
    <phoneticPr fontId="2"/>
  </si>
  <si>
    <t>0059N</t>
    <phoneticPr fontId="2"/>
  </si>
  <si>
    <t>19-19</t>
    <phoneticPr fontId="2"/>
  </si>
  <si>
    <t>2107W</t>
    <phoneticPr fontId="2"/>
  </si>
  <si>
    <t>1314W</t>
    <phoneticPr fontId="2"/>
  </si>
  <si>
    <t>24-24</t>
    <phoneticPr fontId="2"/>
  </si>
  <si>
    <t>0060N</t>
    <phoneticPr fontId="2"/>
  </si>
  <si>
    <t>26-26</t>
    <phoneticPr fontId="2"/>
  </si>
  <si>
    <t>2108Ｗ</t>
    <phoneticPr fontId="2"/>
  </si>
  <si>
    <t>1315W</t>
    <phoneticPr fontId="2"/>
  </si>
  <si>
    <t>0061N</t>
    <phoneticPr fontId="2"/>
  </si>
  <si>
    <t>2109W</t>
    <phoneticPr fontId="2"/>
  </si>
  <si>
    <t>1316W</t>
    <phoneticPr fontId="2"/>
  </si>
  <si>
    <t>0062N</t>
    <phoneticPr fontId="2"/>
  </si>
  <si>
    <t>2110W</t>
    <phoneticPr fontId="2"/>
  </si>
  <si>
    <t>1317W</t>
    <phoneticPr fontId="2"/>
  </si>
  <si>
    <t>0063N</t>
    <phoneticPr fontId="2"/>
  </si>
  <si>
    <t>2111W</t>
    <phoneticPr fontId="2"/>
  </si>
  <si>
    <t>1318W</t>
    <phoneticPr fontId="2"/>
  </si>
  <si>
    <t>0064N</t>
    <phoneticPr fontId="2"/>
  </si>
  <si>
    <t>2112W</t>
    <phoneticPr fontId="2"/>
  </si>
  <si>
    <t>29-30</t>
    <phoneticPr fontId="2"/>
  </si>
  <si>
    <t>1319W</t>
    <phoneticPr fontId="2"/>
  </si>
  <si>
    <t>31-31</t>
    <phoneticPr fontId="2"/>
  </si>
  <si>
    <t>FAX: 03-6733-8533</t>
    <phoneticPr fontId="2"/>
  </si>
  <si>
    <t>DONGJIN CONTINENTAL</t>
  </si>
  <si>
    <t>0065N</t>
  </si>
  <si>
    <t>2113W</t>
  </si>
  <si>
    <t>1320W</t>
  </si>
  <si>
    <t>0066N</t>
  </si>
  <si>
    <t>2114W</t>
  </si>
  <si>
    <t>1321W</t>
  </si>
  <si>
    <t>0067N</t>
  </si>
  <si>
    <t>2115W</t>
  </si>
  <si>
    <t>1322W</t>
  </si>
  <si>
    <t>0068N</t>
  </si>
  <si>
    <t>2116W</t>
  </si>
  <si>
    <t>1323W</t>
  </si>
  <si>
    <t>0069N</t>
  </si>
  <si>
    <t>4/2 -2   (FRI)</t>
  </si>
  <si>
    <t>4/5 -5   (MON)</t>
  </si>
  <si>
    <t>4/6 -7   (WED)</t>
  </si>
  <si>
    <t>4/9 -9   (FRI)</t>
  </si>
  <si>
    <t>4/12 -12 (MON)</t>
  </si>
  <si>
    <t>4/13 -14 (WED)</t>
  </si>
  <si>
    <t>4/16 -16  (FRI)</t>
  </si>
  <si>
    <t>4/19 -19 (MON)</t>
  </si>
  <si>
    <t>4/20 -21 (WED)</t>
  </si>
  <si>
    <t>4/23 -23  (FRI)</t>
  </si>
  <si>
    <t>4/26 -26 (MON)</t>
  </si>
  <si>
    <t>4/27 -28 (WED)</t>
  </si>
  <si>
    <t>4/30 -30  (FRI)</t>
  </si>
  <si>
    <t>3/31 (WED)</t>
  </si>
  <si>
    <t>4/1 (THU)</t>
  </si>
  <si>
    <t>4/2  (FRI)</t>
  </si>
  <si>
    <t>4/7 (WED)</t>
  </si>
  <si>
    <t>4/8 (THU)</t>
  </si>
  <si>
    <t>4/9  (FRI)</t>
  </si>
  <si>
    <t>4/14 (WED)</t>
  </si>
  <si>
    <t>4/15 (THU)</t>
  </si>
  <si>
    <t>4/16  (FRI)</t>
  </si>
  <si>
    <t>4/21 (WED)</t>
  </si>
  <si>
    <t>4/22 (THU)</t>
  </si>
  <si>
    <t>4/23  (FRI)</t>
  </si>
  <si>
    <t>4/27  (TUE)</t>
  </si>
  <si>
    <t>4/5 -6   (TUE)</t>
  </si>
  <si>
    <t>4/7 -7   (WED)</t>
  </si>
  <si>
    <t>4/12 -13 (TUE)</t>
  </si>
  <si>
    <t>4/14 -14 (WED)</t>
  </si>
  <si>
    <t>4/19 -20 (TUE)</t>
  </si>
  <si>
    <t>4/21 -21 (WED)</t>
  </si>
  <si>
    <t>4/26 -27 (TUE)</t>
  </si>
  <si>
    <t>4/28 -28 (WED)</t>
  </si>
  <si>
    <t>4/5 (MON)</t>
  </si>
  <si>
    <t>4/12 (MON)</t>
  </si>
  <si>
    <t>4/19 (MON)</t>
  </si>
  <si>
    <t>4/26 (MON)</t>
  </si>
  <si>
    <t>4/27 (TUE)</t>
  </si>
  <si>
    <t>4/5  (MON)</t>
  </si>
  <si>
    <t>4/11  (SUN）</t>
  </si>
  <si>
    <t>4/12  (MON)</t>
  </si>
  <si>
    <t>4/18  (SUN）</t>
  </si>
  <si>
    <t>4/19  (MON)</t>
  </si>
  <si>
    <t>4/25  (SUN）</t>
  </si>
  <si>
    <t>4/26  (MON)</t>
  </si>
  <si>
    <t>4/30  (FRI)</t>
  </si>
  <si>
    <t>5/2  (SUN）</t>
  </si>
  <si>
    <t>5/3  (MON)</t>
  </si>
  <si>
    <t>0070N</t>
  </si>
  <si>
    <t>2118W</t>
  </si>
  <si>
    <t>1325W</t>
  </si>
  <si>
    <t>0071N</t>
  </si>
  <si>
    <t>2119W</t>
  </si>
  <si>
    <t>1326W</t>
  </si>
  <si>
    <t>0072N</t>
  </si>
  <si>
    <t>2120W</t>
  </si>
  <si>
    <t>1327W</t>
  </si>
  <si>
    <t>0073N</t>
  </si>
  <si>
    <t>2121W</t>
  </si>
  <si>
    <t>1328W</t>
  </si>
  <si>
    <t>5/7 -7   (FRI)</t>
  </si>
  <si>
    <t>5/10 -10 (MON)</t>
  </si>
  <si>
    <t>5/11 -12 (WED)</t>
  </si>
  <si>
    <t>5/14 -14  (FRI)</t>
  </si>
  <si>
    <t>5/17 -17 (MON)</t>
  </si>
  <si>
    <t>5/18 -19 (WED)</t>
  </si>
  <si>
    <t>5/21 -21  (FRI)</t>
  </si>
  <si>
    <t>5/24 -24 (MON)</t>
  </si>
  <si>
    <t>5/25 -26 (WED)</t>
  </si>
  <si>
    <t>5/28 -28  (FRI)</t>
  </si>
  <si>
    <t>5/31 -31 (MON)</t>
  </si>
  <si>
    <t>6/1 -2   (WED)</t>
  </si>
  <si>
    <t>5/6 (THU)</t>
  </si>
  <si>
    <t>5/7  (FRI)</t>
  </si>
  <si>
    <t>5/12 (WED)</t>
  </si>
  <si>
    <t>5/13 (THU)</t>
  </si>
  <si>
    <t>5/14  (FRI)</t>
  </si>
  <si>
    <t>5/19 (WED)</t>
  </si>
  <si>
    <t>5/20 (THU)</t>
  </si>
  <si>
    <t>5/21  (FRI)</t>
  </si>
  <si>
    <t>5/26 (WED)</t>
  </si>
  <si>
    <t>5/27 (THU)</t>
  </si>
  <si>
    <t>5/28  (FRI)</t>
  </si>
  <si>
    <t>5/10 -11 (TUE)</t>
  </si>
  <si>
    <t>5/12 -12 (WED)</t>
  </si>
  <si>
    <t>5/17 -18 (TUE)</t>
  </si>
  <si>
    <t>5/19 -19 (WED)</t>
  </si>
  <si>
    <t>5/24 -25 (TUE)</t>
  </si>
  <si>
    <t>5/26 -26 (WED)</t>
  </si>
  <si>
    <t>5/31 -1   (TUE)</t>
  </si>
  <si>
    <t>6/2 -2   (WED)</t>
  </si>
  <si>
    <t>5/10 (MON)</t>
  </si>
  <si>
    <t>5/17 (MON)</t>
  </si>
  <si>
    <t>5/24 (MON)</t>
  </si>
  <si>
    <t>5/31 (MON)</t>
  </si>
  <si>
    <t>5/10  (MON)</t>
  </si>
  <si>
    <t>5/16  (SUN）</t>
  </si>
  <si>
    <t>5/17  (MON)</t>
  </si>
  <si>
    <t>5/23  (SUN）</t>
  </si>
  <si>
    <t>5/24  (MON)</t>
  </si>
  <si>
    <t>5/30  (SUN）</t>
  </si>
  <si>
    <t>5/31  (MON)</t>
  </si>
  <si>
    <t>6/4  (FRI)</t>
  </si>
  <si>
    <t>6/6  (SUN）</t>
  </si>
  <si>
    <t>0074N</t>
  </si>
  <si>
    <t>2122W</t>
  </si>
  <si>
    <t>1329W</t>
  </si>
  <si>
    <t>0075N</t>
  </si>
  <si>
    <t>6/1-2 (WED)</t>
    <phoneticPr fontId="2"/>
  </si>
  <si>
    <t>6/4-4 (FRI)</t>
    <phoneticPr fontId="2"/>
  </si>
  <si>
    <t>6/7-7 (MON)</t>
    <phoneticPr fontId="2"/>
  </si>
  <si>
    <t>6/8-9 (WED)</t>
    <phoneticPr fontId="2"/>
  </si>
  <si>
    <t>6/11-11 (FRI)</t>
    <phoneticPr fontId="2"/>
  </si>
  <si>
    <t>5/28 (FRI)</t>
    <phoneticPr fontId="2"/>
  </si>
  <si>
    <t>6/2 (WED)</t>
    <phoneticPr fontId="2"/>
  </si>
  <si>
    <t>6/3 (THU)</t>
    <phoneticPr fontId="2"/>
  </si>
  <si>
    <t>6/4 (FRI)</t>
    <phoneticPr fontId="2"/>
  </si>
  <si>
    <t>6/9 (WED)</t>
    <phoneticPr fontId="2"/>
  </si>
  <si>
    <t>6/2-2 (WED)</t>
    <phoneticPr fontId="2"/>
  </si>
  <si>
    <t>6/7-8 (TUE)</t>
    <phoneticPr fontId="2"/>
  </si>
  <si>
    <t>6/9-9 (WED)</t>
    <phoneticPr fontId="2"/>
  </si>
  <si>
    <t>5/31(MON)</t>
    <phoneticPr fontId="2"/>
  </si>
  <si>
    <t>6/7 (MON)</t>
    <phoneticPr fontId="2"/>
  </si>
  <si>
    <t>2123W</t>
  </si>
  <si>
    <t>1330W</t>
  </si>
  <si>
    <t>0076N</t>
  </si>
  <si>
    <t>2124W</t>
  </si>
  <si>
    <t>1331W</t>
  </si>
  <si>
    <t>0077N</t>
  </si>
  <si>
    <t>2125W</t>
  </si>
  <si>
    <t>1332W</t>
  </si>
  <si>
    <t>6/14-14 (MON)</t>
    <phoneticPr fontId="2"/>
  </si>
  <si>
    <t>6/15-16 (WED)</t>
    <phoneticPr fontId="2"/>
  </si>
  <si>
    <t>6/18-18 (FRI)</t>
    <phoneticPr fontId="2"/>
  </si>
  <si>
    <t>6/21-21 (MON)</t>
    <phoneticPr fontId="2"/>
  </si>
  <si>
    <t>6/22-23 (WED)</t>
    <phoneticPr fontId="2"/>
  </si>
  <si>
    <t>6/25-25 (FRI)</t>
    <phoneticPr fontId="2"/>
  </si>
  <si>
    <t>6/28-28 (MON)</t>
    <phoneticPr fontId="2"/>
  </si>
  <si>
    <t>6/29-30 (WED)</t>
    <phoneticPr fontId="2"/>
  </si>
  <si>
    <t>6/10 (THU)</t>
    <phoneticPr fontId="2"/>
  </si>
  <si>
    <t>6/11 (FRI)</t>
    <phoneticPr fontId="2"/>
  </si>
  <si>
    <t>6/16 (WED)</t>
    <phoneticPr fontId="2"/>
  </si>
  <si>
    <t>6/17 (THU)</t>
    <phoneticPr fontId="2"/>
  </si>
  <si>
    <t>6/18 (FRI)</t>
    <phoneticPr fontId="2"/>
  </si>
  <si>
    <t>6/23 (WED)</t>
    <phoneticPr fontId="2"/>
  </si>
  <si>
    <t>6/24 (THU)</t>
    <phoneticPr fontId="2"/>
  </si>
  <si>
    <t>6/25 (FRI)</t>
    <phoneticPr fontId="2"/>
  </si>
  <si>
    <t>6/14-15 (TUE)</t>
    <phoneticPr fontId="2"/>
  </si>
  <si>
    <t>6/16-16 (WED)</t>
    <phoneticPr fontId="2"/>
  </si>
  <si>
    <t>6/21-22 (TUE)</t>
    <phoneticPr fontId="2"/>
  </si>
  <si>
    <t>6/23-23 (WED)</t>
    <phoneticPr fontId="2"/>
  </si>
  <si>
    <t>6/28-29 (TUE)</t>
    <phoneticPr fontId="2"/>
  </si>
  <si>
    <t>6/30-30 (WED)</t>
    <phoneticPr fontId="2"/>
  </si>
  <si>
    <t>6/14 (MON)</t>
    <phoneticPr fontId="2"/>
  </si>
  <si>
    <t>6/21 (MON)</t>
    <phoneticPr fontId="2"/>
  </si>
  <si>
    <t>6/28 (MON)</t>
    <phoneticPr fontId="2"/>
  </si>
  <si>
    <t>6/6 (SUN)</t>
    <phoneticPr fontId="2"/>
  </si>
  <si>
    <t>6/13 (SUN)</t>
    <phoneticPr fontId="2"/>
  </si>
  <si>
    <t>6/20 (SUN)</t>
    <phoneticPr fontId="2"/>
  </si>
  <si>
    <t>6/27 (SUN)</t>
    <phoneticPr fontId="2"/>
  </si>
  <si>
    <t>7/2 (FRI)</t>
    <phoneticPr fontId="2"/>
  </si>
  <si>
    <t>7/4 (SUN)</t>
    <phoneticPr fontId="2"/>
  </si>
  <si>
    <t>0079N</t>
  </si>
  <si>
    <t>2127W</t>
  </si>
  <si>
    <t>1334W</t>
  </si>
  <si>
    <t>0080N</t>
  </si>
  <si>
    <t>2128W</t>
  </si>
  <si>
    <t>1335W</t>
  </si>
  <si>
    <t>0081N</t>
  </si>
  <si>
    <t>7/9 -9   (FRI)</t>
  </si>
  <si>
    <t>7/12 -12 (MON)</t>
  </si>
  <si>
    <t>7/13 -14 (WED)</t>
  </si>
  <si>
    <t>7/16 -16  (FRI)</t>
  </si>
  <si>
    <t>7/19 -19 (MON)</t>
  </si>
  <si>
    <t>7/20 -21 (WED)</t>
  </si>
  <si>
    <t>7/23 -23  (FRI)</t>
  </si>
  <si>
    <t>7/7 (WED)</t>
  </si>
  <si>
    <t>7/8 (THU)</t>
  </si>
  <si>
    <t>7/9  (FRI)</t>
  </si>
  <si>
    <t>7/14 (WED)</t>
  </si>
  <si>
    <t>7/15 (THU)</t>
  </si>
  <si>
    <t>7/16  (FRI)</t>
  </si>
  <si>
    <t>7/20  (TUE)</t>
  </si>
  <si>
    <t>7/12 -13 (TUE)</t>
  </si>
  <si>
    <t>7/14 -14 (WED)</t>
  </si>
  <si>
    <t>7/19 -20 (TUE)</t>
  </si>
  <si>
    <t>7/21 -21 (WED)</t>
  </si>
  <si>
    <t>7/12 (MON)</t>
  </si>
  <si>
    <t>7/19 (MON)</t>
  </si>
  <si>
    <t>7/20 (TUE)</t>
  </si>
  <si>
    <t>7/12  (MON)</t>
  </si>
  <si>
    <t>7/18  (SUN）</t>
  </si>
  <si>
    <t>7/19  (MON)</t>
  </si>
  <si>
    <t>7/23  (FRI)</t>
  </si>
  <si>
    <t>7/25  (SUN）</t>
  </si>
  <si>
    <t>7/26  (MON)</t>
  </si>
  <si>
    <t>1336W</t>
  </si>
  <si>
    <t>0082N</t>
  </si>
  <si>
    <t>2130W</t>
  </si>
  <si>
    <t>1337W</t>
  </si>
  <si>
    <t>0083N</t>
  </si>
  <si>
    <t>2131W</t>
  </si>
  <si>
    <t>7/27 -28 (WED)</t>
  </si>
  <si>
    <t>7/21 (WED)</t>
  </si>
  <si>
    <t>7/28 -28 (WED)</t>
  </si>
  <si>
    <t>7/26 (MON)</t>
  </si>
  <si>
    <t>8/1  (SUN）</t>
  </si>
  <si>
    <t>7/30 -30  (FRI)</t>
  </si>
  <si>
    <t>7/28 (WED)</t>
  </si>
  <si>
    <t>8/2  (MON)</t>
  </si>
  <si>
    <t>8/2 -2   (MON)</t>
  </si>
  <si>
    <t>7/29 (THU)</t>
  </si>
  <si>
    <t>8/2 -3   (TUE)</t>
  </si>
  <si>
    <t>8/6  (FRI)</t>
  </si>
  <si>
    <t>8/3 -4   (WED)</t>
  </si>
  <si>
    <t>7/30  (FRI)</t>
  </si>
  <si>
    <t>8/4 -4   (WED)</t>
  </si>
  <si>
    <t>8/2 (MON)</t>
  </si>
  <si>
    <t>8/8  (SUN）</t>
  </si>
  <si>
    <t>8/6 -6   (FRI)</t>
  </si>
  <si>
    <t>8/4 (WED)</t>
  </si>
  <si>
    <t>8/9  (MON)</t>
  </si>
  <si>
    <t>8/9 -9   (MON)</t>
  </si>
  <si>
    <t>8/5 (THU)</t>
  </si>
  <si>
    <t>8/9 -10 (TUE)</t>
  </si>
  <si>
    <t>8/13  (FRI)</t>
  </si>
  <si>
    <t>SINOKOR TIANJIN</t>
  </si>
  <si>
    <t>2192W</t>
  </si>
  <si>
    <t>2193W</t>
  </si>
  <si>
    <t>1338W</t>
  </si>
  <si>
    <t>0084N</t>
  </si>
  <si>
    <t>2194W</t>
  </si>
  <si>
    <t>1339W</t>
  </si>
  <si>
    <t>0085N</t>
  </si>
  <si>
    <t>2195W</t>
  </si>
  <si>
    <t>1340W</t>
  </si>
  <si>
    <t>0086N</t>
  </si>
  <si>
    <t>2196W</t>
  </si>
  <si>
    <t>1341W</t>
  </si>
  <si>
    <t>8/10 -11 (WED)</t>
  </si>
  <si>
    <t>8/13 -13  (FRI)</t>
  </si>
  <si>
    <t>8/16 -16 (MON)</t>
  </si>
  <si>
    <t>8/17 -18 (WED)</t>
  </si>
  <si>
    <t>8/20 -20  (FRI)</t>
  </si>
  <si>
    <t>8/23 -23 (MON)</t>
  </si>
  <si>
    <t>8/24 -25 (WED)</t>
  </si>
  <si>
    <t>8/27 -27  (FRI)</t>
  </si>
  <si>
    <t>8/30 -30 (MON)</t>
  </si>
  <si>
    <t>8/31 -1   (WED)</t>
  </si>
  <si>
    <t>8/5 (THU)</t>
  </si>
  <si>
    <t>8/10  (TUE)</t>
  </si>
  <si>
    <t>8/12 (THU)</t>
  </si>
  <si>
    <t>8/18 (WED)</t>
  </si>
  <si>
    <t>8/19 (THU)</t>
  </si>
  <si>
    <t>8/20  (FRI)</t>
  </si>
  <si>
    <t>8/25 (WED)</t>
  </si>
  <si>
    <t>8/26 (THU)</t>
  </si>
  <si>
    <t>8/27  (FRI)</t>
  </si>
  <si>
    <t>8/11 -11 (WED)</t>
  </si>
  <si>
    <t>8/16 -17 (TUE)</t>
  </si>
  <si>
    <t>8/18 -18 (WED)</t>
  </si>
  <si>
    <t>8/23 -24 (TUE)</t>
  </si>
  <si>
    <t>8/25 -25 (WED)</t>
  </si>
  <si>
    <t>8/30 -31 (TUE)</t>
  </si>
  <si>
    <t>9/1 -1   (WED)</t>
  </si>
  <si>
    <t>8/10 (TUE)</t>
  </si>
  <si>
    <t>8/16 (MON)</t>
  </si>
  <si>
    <t>8/23 (MON)</t>
  </si>
  <si>
    <t>8/30 (MON)</t>
  </si>
  <si>
    <t>8/15  (SUN）</t>
  </si>
  <si>
    <t>8/16  (MON)</t>
  </si>
  <si>
    <t>8/22  (SUN）</t>
  </si>
  <si>
    <t>8/23  (MON)</t>
  </si>
  <si>
    <t>8/29  (SUN）</t>
  </si>
  <si>
    <t>8/30  (MON)</t>
  </si>
  <si>
    <t>9/3  (FRI)</t>
  </si>
  <si>
    <t>9/5  (SUN）</t>
  </si>
  <si>
    <t>0087N</t>
  </si>
  <si>
    <t>2197W</t>
  </si>
  <si>
    <t>1342W</t>
  </si>
  <si>
    <t>0088N</t>
  </si>
  <si>
    <t>2198W</t>
  </si>
  <si>
    <t>1343W</t>
  </si>
  <si>
    <t>0089N</t>
  </si>
  <si>
    <t>2199W</t>
  </si>
  <si>
    <t>1344W</t>
  </si>
  <si>
    <t>0090N</t>
  </si>
  <si>
    <t>2200W</t>
  </si>
  <si>
    <t>1345W</t>
  </si>
  <si>
    <t>9/3 -3   (FRI)</t>
  </si>
  <si>
    <t>9/6 -6   (MON)</t>
  </si>
  <si>
    <t>9/7 -8   (WED)</t>
  </si>
  <si>
    <t>9/10 -10  (FRI)</t>
  </si>
  <si>
    <t>9/13 -13 (MON)</t>
  </si>
  <si>
    <t>9/14 -15 (WED)</t>
  </si>
  <si>
    <t>9/17 -17  (FRI)</t>
  </si>
  <si>
    <t>9/20 -20 (MON)</t>
  </si>
  <si>
    <t>9/21 -22 (WED)</t>
  </si>
  <si>
    <t>9/24 -24  (FRI)</t>
  </si>
  <si>
    <t>9/27 -27 (MON)</t>
  </si>
  <si>
    <t>9/28 -29 (WED)</t>
  </si>
  <si>
    <t>9/1 (WED)</t>
  </si>
  <si>
    <t>9/2 (THU)</t>
  </si>
  <si>
    <t>9/8 (WED)</t>
  </si>
  <si>
    <t>9/9 (THU)</t>
  </si>
  <si>
    <t>9/10  (FRI)</t>
  </si>
  <si>
    <t>9/15 (WED)</t>
  </si>
  <si>
    <t>9/16 (THU)</t>
  </si>
  <si>
    <t>9/17  (FRI)</t>
  </si>
  <si>
    <t>9/21  (TUE)</t>
  </si>
  <si>
    <t>9/22 (WED)</t>
  </si>
  <si>
    <t>9/24  (FRI)</t>
  </si>
  <si>
    <t>9/6  (MON)</t>
  </si>
  <si>
    <t>9/6 -7   (TUE)</t>
  </si>
  <si>
    <t>9/8 -8   (WED)</t>
  </si>
  <si>
    <t>9/6 (MON)</t>
  </si>
  <si>
    <t>9/12  (SUN）</t>
  </si>
  <si>
    <t>9/13  (MON)</t>
  </si>
  <si>
    <t>9/13 -14 (TUE)</t>
  </si>
  <si>
    <t>9/15 -15 (WED)</t>
  </si>
  <si>
    <t>9/13 (MON)</t>
  </si>
  <si>
    <t>9/19  (SUN）</t>
  </si>
  <si>
    <t>9/20  (MON)</t>
  </si>
  <si>
    <t>9/20 -21 (TUE)</t>
  </si>
  <si>
    <t>9/22 -22 (WED)</t>
  </si>
  <si>
    <t>9/26  (SUN）</t>
  </si>
  <si>
    <t>9/21 (TUE)</t>
  </si>
  <si>
    <t>9/27  (MON)</t>
  </si>
  <si>
    <t>9/27 -28 (TUE)</t>
  </si>
  <si>
    <t>10/1  (FRI)</t>
  </si>
  <si>
    <t>9/29 -29 (WED)</t>
  </si>
  <si>
    <t>9/27 (MON)</t>
  </si>
  <si>
    <t>10/3  (SUN）</t>
  </si>
  <si>
    <t>SINOKOR AKITA</t>
  </si>
  <si>
    <t>0091N</t>
  </si>
  <si>
    <t>10/1 -1   (FRI)</t>
  </si>
  <si>
    <t>9/29 (WED)</t>
  </si>
  <si>
    <t>10/4  (MON)</t>
  </si>
  <si>
    <t>2132W</t>
  </si>
  <si>
    <t>10/4 -4   (MON)</t>
  </si>
  <si>
    <t>9/30 (THU)</t>
  </si>
  <si>
    <t>10/4 -5   (TUE)</t>
  </si>
  <si>
    <t>10/8  (FRI)</t>
  </si>
  <si>
    <t>1346W</t>
  </si>
  <si>
    <t>10/5 -6   (WED)</t>
  </si>
  <si>
    <t>10/6 -6   (WED)</t>
  </si>
  <si>
    <t>10/4 (MON)</t>
  </si>
  <si>
    <t>10/10  (SUN）</t>
  </si>
  <si>
    <t>0092N</t>
  </si>
  <si>
    <t>10/8 -8   (FRI)</t>
  </si>
  <si>
    <t>10/6 (WED)</t>
  </si>
  <si>
    <t>10/11  (MON)</t>
  </si>
  <si>
    <t>2133W</t>
  </si>
  <si>
    <t>10/11 -11 (MON)</t>
  </si>
  <si>
    <t>10/7 (THU)</t>
  </si>
  <si>
    <t>10/11 -12 (TUE)</t>
  </si>
  <si>
    <t>10/15  (FRI)</t>
  </si>
  <si>
    <t>1347W</t>
  </si>
  <si>
    <t>10/12 -13 (WED)</t>
  </si>
  <si>
    <t>10/13 -13 (WED)</t>
  </si>
  <si>
    <t>10/11 (MON)</t>
  </si>
  <si>
    <t>10/17  (SUN）</t>
  </si>
  <si>
    <t>0093N</t>
  </si>
  <si>
    <t>10/15 -15  (FRI)</t>
  </si>
  <si>
    <t>10/13 (WED)</t>
  </si>
  <si>
    <t>10/18  (MON)</t>
  </si>
  <si>
    <t>2134W</t>
  </si>
  <si>
    <t>10/18 -18 (MON)</t>
  </si>
  <si>
    <t>10/14 (THU)</t>
  </si>
  <si>
    <t>10/18 -19 (TUE)</t>
  </si>
  <si>
    <t>10/22  (FRI)</t>
  </si>
  <si>
    <t>1348W</t>
  </si>
  <si>
    <t>10/19 -20 (WED)</t>
  </si>
  <si>
    <t>10/20 -20 (WED)</t>
  </si>
  <si>
    <t>10/18 (MON)</t>
  </si>
  <si>
    <t>10/24  (SUN）</t>
  </si>
  <si>
    <t>0094N</t>
  </si>
  <si>
    <t>10/22 -22  (FRI)</t>
  </si>
  <si>
    <t>10/20 (WED)</t>
  </si>
  <si>
    <t>10/25  (MON)</t>
  </si>
  <si>
    <t>2135W</t>
  </si>
  <si>
    <t>10/25 -25 (MON)</t>
  </si>
  <si>
    <t>10/21 (THU)</t>
  </si>
  <si>
    <t>10/25 -26 (TUE)</t>
  </si>
  <si>
    <t>10/29  (FRI)</t>
  </si>
  <si>
    <t>1349W</t>
  </si>
  <si>
    <t>10/26 -27 (WED)</t>
  </si>
  <si>
    <t>10/27 -27 (WED)</t>
  </si>
  <si>
    <t>10/25 (MON)</t>
  </si>
  <si>
    <t>10/31  (SUN）</t>
  </si>
  <si>
    <t>0095N</t>
  </si>
  <si>
    <t>10/29 -29  (FRI)</t>
  </si>
  <si>
    <t>10/27 (WED)</t>
  </si>
  <si>
    <t>11/1  (MON)</t>
  </si>
  <si>
    <t>2136W</t>
  </si>
  <si>
    <t>11/1 -1   (MON)</t>
  </si>
  <si>
    <t>10/28 (THU)</t>
  </si>
  <si>
    <t>11/1 -2   (TUE)</t>
  </si>
  <si>
    <t>11/5  (FRI)</t>
  </si>
  <si>
    <t>1350W</t>
  </si>
  <si>
    <t>11/2 -3   (WED)</t>
  </si>
  <si>
    <t>11/3 -3   (WED)</t>
  </si>
  <si>
    <t>11/1 (MON)</t>
  </si>
  <si>
    <t>11/7  (SUN）</t>
  </si>
  <si>
    <t>0096N</t>
  </si>
  <si>
    <t>11/5 -5   (FRI)</t>
  </si>
  <si>
    <t>11/2  (TUE)</t>
  </si>
  <si>
    <t>11/2 (TUE)</t>
  </si>
  <si>
    <t>11/8  (MON)</t>
  </si>
  <si>
    <t>2137W</t>
  </si>
  <si>
    <t>11/8 -8   (MON)</t>
  </si>
  <si>
    <t>11/4 (THU)</t>
  </si>
  <si>
    <t>11/8 -9   (TUE)</t>
  </si>
  <si>
    <t>11/12  (FRI)</t>
  </si>
  <si>
    <t>1351W</t>
  </si>
  <si>
    <t>11/9 -10 (WED)</t>
  </si>
  <si>
    <t>11/10 -10 (WED)</t>
  </si>
  <si>
    <t>11/8 (MON)</t>
  </si>
  <si>
    <t>11/14  (SUN）</t>
  </si>
  <si>
    <t>0097N</t>
  </si>
  <si>
    <t>11/12 -12  (FRI)</t>
  </si>
  <si>
    <t>11/10 (WED)</t>
  </si>
  <si>
    <t>11/15  (MON)</t>
  </si>
  <si>
    <t>2138W</t>
  </si>
  <si>
    <t>11/15 -15 (MON)</t>
  </si>
  <si>
    <t>11/11 (THU)</t>
  </si>
  <si>
    <t>11/15 -16 (TUE)</t>
  </si>
  <si>
    <t>11/19  (FRI)</t>
  </si>
  <si>
    <t>1352W</t>
  </si>
  <si>
    <t>11/16 -17 (WED)</t>
  </si>
  <si>
    <t>11/17 -17 (WED)</t>
  </si>
  <si>
    <t>11/15 (MON)</t>
  </si>
  <si>
    <t>11/21  (SUN）</t>
  </si>
  <si>
    <t>0098N</t>
  </si>
  <si>
    <t>11/19 -19  (FRI)</t>
  </si>
  <si>
    <t>11/17 (WED)</t>
  </si>
  <si>
    <t>11/22  (MON)</t>
  </si>
  <si>
    <t>2139W</t>
  </si>
  <si>
    <t>11/22 -22 (MON)</t>
  </si>
  <si>
    <t>11/18 (THU)</t>
  </si>
  <si>
    <t>11/22 -23 (TUE)</t>
  </si>
  <si>
    <t>11/26  (FRI)</t>
  </si>
  <si>
    <t>1353W</t>
  </si>
  <si>
    <t>11/23 -24 (WED)</t>
  </si>
  <si>
    <t>11/24 -24 (WED)</t>
  </si>
  <si>
    <t>11/22 (MON)</t>
  </si>
  <si>
    <t>11/28  (SUN）</t>
  </si>
  <si>
    <t>0099N</t>
  </si>
  <si>
    <t>11/26 -26  (FRI)</t>
  </si>
  <si>
    <t>11/24 (WED)</t>
  </si>
  <si>
    <t>11/29  (MON)</t>
  </si>
  <si>
    <t>2140W</t>
  </si>
  <si>
    <t>11/29 -29 (MON)</t>
  </si>
  <si>
    <t>11/25 (THU)</t>
  </si>
  <si>
    <t>11/25 (THU)</t>
    <phoneticPr fontId="2"/>
  </si>
  <si>
    <t>11/29 -30 (TUE)</t>
  </si>
  <si>
    <t>12/3 (FRI)</t>
  </si>
  <si>
    <t>1354W</t>
  </si>
  <si>
    <t>11/30 -1 (WED)</t>
  </si>
  <si>
    <t>11/26 (FRI)</t>
  </si>
  <si>
    <t>12/1 -1 (WED)</t>
  </si>
  <si>
    <t>11/29 (MON)</t>
  </si>
  <si>
    <t>12/5 (SUN）</t>
  </si>
  <si>
    <t>DONGJIN VENUS</t>
    <phoneticPr fontId="2"/>
  </si>
  <si>
    <t>0100N</t>
  </si>
  <si>
    <t>12/3 -3 (FRI)</t>
  </si>
  <si>
    <t>12/1 (WED)</t>
  </si>
  <si>
    <t>12/3 -3 (FRI)</t>
    <phoneticPr fontId="2"/>
  </si>
  <si>
    <t>12/6 (MON)</t>
  </si>
  <si>
    <t>2141W</t>
  </si>
  <si>
    <t>12/6 -6 (MON</t>
  </si>
  <si>
    <t>12/2 (THU)</t>
  </si>
  <si>
    <t>12/6 -7 (TUE)</t>
    <phoneticPr fontId="2"/>
  </si>
  <si>
    <t>12/10 (FRI)</t>
  </si>
  <si>
    <t>1355W</t>
  </si>
  <si>
    <t>12/7 -8 (WED)</t>
  </si>
  <si>
    <t>12/3 (FRI)</t>
    <phoneticPr fontId="2"/>
  </si>
  <si>
    <t>12/8 -8 (WED)</t>
    <phoneticPr fontId="2"/>
  </si>
  <si>
    <t>12/12 (SUN）</t>
  </si>
  <si>
    <t>0101N</t>
    <phoneticPr fontId="2"/>
  </si>
  <si>
    <t>12/10 -10 (FRI)</t>
  </si>
  <si>
    <t>12/7 (TUE)</t>
  </si>
  <si>
    <t>12/13 (MON)</t>
  </si>
  <si>
    <t>TBA</t>
  </si>
  <si>
    <t>2142W</t>
  </si>
  <si>
    <t>1356W</t>
  </si>
  <si>
    <t>0102N</t>
  </si>
  <si>
    <t>2143W</t>
  </si>
  <si>
    <t>1357W</t>
  </si>
  <si>
    <t>0103N</t>
  </si>
  <si>
    <t>12/13 -13 (MON)</t>
  </si>
  <si>
    <t>12/9 (THU)</t>
  </si>
  <si>
    <t>12/13 -14 (TUE)</t>
  </si>
  <si>
    <t>12/17  (FRI)</t>
  </si>
  <si>
    <t>12/14 -15 (WED)</t>
  </si>
  <si>
    <t>12/10  (FRI)</t>
  </si>
  <si>
    <t>12/15 -15 (WED)</t>
  </si>
  <si>
    <t>12/19  (SUN）</t>
  </si>
  <si>
    <t>12/17 -17  (FRI)</t>
  </si>
  <si>
    <t>12/15 (WED)</t>
  </si>
  <si>
    <t>12/20  (MON)</t>
  </si>
  <si>
    <t>12/20 -20 (MON)</t>
  </si>
  <si>
    <t>12/16 (THU)</t>
  </si>
  <si>
    <t>12/20 -21 (TUE)</t>
  </si>
  <si>
    <t>12/24  (FRI)</t>
  </si>
  <si>
    <t>12/21 -22 (WED)</t>
  </si>
  <si>
    <t>12/22 -22 (WED)</t>
  </si>
  <si>
    <t>12/20 (MON)</t>
  </si>
  <si>
    <t>12/26  (SUN）</t>
  </si>
  <si>
    <t>12/24 -24  (FRI)</t>
  </si>
  <si>
    <t>12/22 (WED)</t>
  </si>
  <si>
    <t>12/27  (MON)</t>
  </si>
  <si>
    <t>12/27 -27 (MON)</t>
  </si>
  <si>
    <t>12/23 (THU)</t>
  </si>
  <si>
    <t>12/27 -28 (TUE)</t>
  </si>
  <si>
    <t>12/31  (FRI)</t>
  </si>
  <si>
    <t>12/28 -29 (WED)</t>
  </si>
  <si>
    <t>12/29 -29 (WED)</t>
  </si>
  <si>
    <t>12/27 (MON)</t>
  </si>
  <si>
    <t>1/2  (SUN）</t>
  </si>
  <si>
    <t>12/31 -31  (FRI)</t>
  </si>
  <si>
    <t>12/29 (WED)</t>
  </si>
  <si>
    <t>1/3  (MON)</t>
  </si>
  <si>
    <t>NO SERVICE</t>
  </si>
  <si>
    <t>SINOKOR AKITA</t>
    <phoneticPr fontId="2"/>
  </si>
  <si>
    <t>2144W</t>
  </si>
  <si>
    <t>1358W</t>
  </si>
  <si>
    <t>0105N</t>
  </si>
  <si>
    <t>2146W</t>
  </si>
  <si>
    <t>1360W</t>
  </si>
  <si>
    <t>0106N</t>
  </si>
  <si>
    <t>2147W</t>
  </si>
  <si>
    <t>1361W</t>
  </si>
  <si>
    <t>2148W</t>
  </si>
  <si>
    <t>1362W</t>
  </si>
  <si>
    <t>0104N</t>
  </si>
  <si>
    <t xml:space="preserve">12/27 -27 (MON) </t>
    <phoneticPr fontId="2"/>
  </si>
  <si>
    <t xml:space="preserve">12/31 -31 (FRI) </t>
    <phoneticPr fontId="2"/>
  </si>
  <si>
    <t>1/3 -3 (MON)</t>
  </si>
  <si>
    <t>1/4 -5 (WED)</t>
  </si>
  <si>
    <t>1/7 -7 (FRI)</t>
  </si>
  <si>
    <t>1/10 -10 (MON)</t>
  </si>
  <si>
    <t>1/11 -12 (WED)</t>
  </si>
  <si>
    <t>1/14 -14 (FRI)</t>
  </si>
  <si>
    <t>1/17 -17 (MON)</t>
  </si>
  <si>
    <t>1/18 -19 (WED)</t>
  </si>
  <si>
    <t>1/21 -21 (FRI)</t>
  </si>
  <si>
    <t>1/24 -24 (MON)</t>
    <phoneticPr fontId="2"/>
  </si>
  <si>
    <t>1/25 -26 (WED)</t>
  </si>
  <si>
    <t>1/28 -28 (FRI)</t>
  </si>
  <si>
    <t>12/24 (FRI)</t>
  </si>
  <si>
    <t>12/30 (THU)</t>
  </si>
  <si>
    <t>12/31 (FRI)</t>
  </si>
  <si>
    <t>12/31 (FRI)</t>
    <phoneticPr fontId="2"/>
  </si>
  <si>
    <t>1/5 (WED)</t>
  </si>
  <si>
    <t>1/6 (THU)</t>
  </si>
  <si>
    <t>1/7 (FRI)</t>
  </si>
  <si>
    <t>1/12 (WED)</t>
  </si>
  <si>
    <t>1/13 (THU)</t>
  </si>
  <si>
    <t>1/14 (FRI)</t>
  </si>
  <si>
    <t>1/19 (WED)</t>
  </si>
  <si>
    <t>1/20 (THU)</t>
  </si>
  <si>
    <t>1/21 (FRI)</t>
  </si>
  <si>
    <t>1/26 (WED)</t>
  </si>
  <si>
    <t>12/31 -31 (FRI)</t>
  </si>
  <si>
    <t>1/3 -4 (TUE)</t>
  </si>
  <si>
    <t>1/5 -5 (WED)</t>
  </si>
  <si>
    <t>1/10 -11 (TUE)</t>
  </si>
  <si>
    <t>1/12 -12 (WED)</t>
  </si>
  <si>
    <t>1/14 -14 (FRI)</t>
    <phoneticPr fontId="2"/>
  </si>
  <si>
    <t>1/17 -18 (TUE)</t>
  </si>
  <si>
    <t>1/19 -19 (WED)</t>
    <phoneticPr fontId="2"/>
  </si>
  <si>
    <t>1/24 -25 (TUE)</t>
  </si>
  <si>
    <t xml:space="preserve">1/26 -26 (WED) </t>
    <phoneticPr fontId="2"/>
  </si>
  <si>
    <t>1/3 (MON)</t>
  </si>
  <si>
    <t>1/17 (MON)</t>
  </si>
  <si>
    <t>1/24 (MON)</t>
  </si>
  <si>
    <t>1/2 (SUN）</t>
  </si>
  <si>
    <t>1/9 (SUN）</t>
  </si>
  <si>
    <t>1/10 (MON)</t>
  </si>
  <si>
    <t>1/16 (SUN）</t>
  </si>
  <si>
    <t>1/23 (SUN）</t>
  </si>
  <si>
    <t>1/28 (FRI)</t>
  </si>
  <si>
    <t>1/30 (SUN）</t>
  </si>
  <si>
    <t>1/31 (MON)</t>
  </si>
  <si>
    <t>1/24 (MON）</t>
    <phoneticPr fontId="2"/>
  </si>
  <si>
    <t>B.ABBAS (LCL) 東京・横浜</t>
    <rPh sb="14" eb="16">
      <t>トウキョウ</t>
    </rPh>
    <rPh sb="17" eb="19">
      <t>ヨコハマ</t>
    </rPh>
    <phoneticPr fontId="2"/>
  </si>
  <si>
    <t>2203W</t>
  </si>
  <si>
    <t>1/31 -31 (MON)</t>
  </si>
  <si>
    <t>1/27 (THU)</t>
  </si>
  <si>
    <t>1/31 -1 (TUE)</t>
  </si>
  <si>
    <t>2/4 (FRI)</t>
  </si>
  <si>
    <t>1363W</t>
  </si>
  <si>
    <t>0109N</t>
  </si>
  <si>
    <t>2204W</t>
  </si>
  <si>
    <t>1364W</t>
  </si>
  <si>
    <t>0110N</t>
  </si>
  <si>
    <t>1365W</t>
  </si>
  <si>
    <t>0111N</t>
  </si>
  <si>
    <t>2206W</t>
  </si>
  <si>
    <t>1366W</t>
  </si>
  <si>
    <t>0112N</t>
  </si>
  <si>
    <t>2207W</t>
  </si>
  <si>
    <t>2/1 -2 (WED)</t>
    <phoneticPr fontId="2"/>
  </si>
  <si>
    <t>2/2 -2 (WED)</t>
  </si>
  <si>
    <t>2/6 (SUN）</t>
  </si>
  <si>
    <t>2/4 -4 (FRI)</t>
    <phoneticPr fontId="2"/>
  </si>
  <si>
    <t>2/2 (WED)</t>
  </si>
  <si>
    <t>2/7 (MON)</t>
  </si>
  <si>
    <t>2/7 -7 (MON)</t>
  </si>
  <si>
    <t>2/3 (THU)</t>
  </si>
  <si>
    <t>2/3 (THU)</t>
    <phoneticPr fontId="2"/>
  </si>
  <si>
    <t>2/7 -8 (TUE)</t>
  </si>
  <si>
    <t>2/11 (FRI)</t>
  </si>
  <si>
    <t>2/8 -9 (WED)</t>
  </si>
  <si>
    <t>2/4 (FRI)</t>
    <phoneticPr fontId="2"/>
  </si>
  <si>
    <t>2/9 -9 (WED)</t>
    <phoneticPr fontId="2"/>
  </si>
  <si>
    <t>2/13 (SUN）</t>
  </si>
  <si>
    <t>2/11 -11 (FRI)</t>
  </si>
  <si>
    <t>2/9 (WED)</t>
  </si>
  <si>
    <t>2/11 -11 (FRI)</t>
    <phoneticPr fontId="2"/>
  </si>
  <si>
    <t>2/14 (MON)</t>
  </si>
  <si>
    <t>2/14 -14 (MON)</t>
  </si>
  <si>
    <t xml:space="preserve">2/9 (WED) </t>
    <phoneticPr fontId="2"/>
  </si>
  <si>
    <t>2/14 -15 (TUE)</t>
    <phoneticPr fontId="2"/>
  </si>
  <si>
    <t>2/18 (FRI)</t>
  </si>
  <si>
    <t>2/15 -16 (WED)</t>
    <phoneticPr fontId="2"/>
  </si>
  <si>
    <t>2/10 (THU)</t>
  </si>
  <si>
    <t>2/16 -16 (WED)</t>
  </si>
  <si>
    <t>2/20 (SUN）</t>
  </si>
  <si>
    <t>2/18 -18 (FRI)</t>
  </si>
  <si>
    <t>2/16 (WED)</t>
  </si>
  <si>
    <t>2/16 (WED)</t>
    <phoneticPr fontId="2"/>
  </si>
  <si>
    <t>2/18 -18 (FRI)</t>
    <phoneticPr fontId="2"/>
  </si>
  <si>
    <t>2/21 (MON)</t>
  </si>
  <si>
    <t>2/21 -21 (MON)</t>
  </si>
  <si>
    <t>2/17 (THU)</t>
  </si>
  <si>
    <t>2/21 -22 (TUE)</t>
  </si>
  <si>
    <t>2/25 (FRI)</t>
  </si>
  <si>
    <t>2/22 -23 (WED)</t>
  </si>
  <si>
    <t>2/23 -23 (WED)</t>
  </si>
  <si>
    <t>2/27 (SUN）</t>
  </si>
  <si>
    <t>2/25 -25 (FRI)</t>
  </si>
  <si>
    <t>2/22 (TUE)</t>
  </si>
  <si>
    <t>2/28 (MON)</t>
  </si>
  <si>
    <t>2/28 -28 (MON)</t>
  </si>
  <si>
    <t>2/24 (THU)</t>
  </si>
  <si>
    <t>2/28 -1 (TUE)</t>
  </si>
  <si>
    <t>3/4 (FRI)</t>
  </si>
  <si>
    <t>0117N</t>
  </si>
  <si>
    <t>2212W</t>
  </si>
  <si>
    <t>1372W</t>
  </si>
  <si>
    <t>0118N</t>
  </si>
  <si>
    <t>2213W</t>
  </si>
  <si>
    <t>1373W</t>
  </si>
  <si>
    <t>0119N</t>
  </si>
  <si>
    <t>2214W</t>
  </si>
  <si>
    <t>1374W</t>
  </si>
  <si>
    <t>0120N</t>
  </si>
  <si>
    <t>2215W</t>
  </si>
  <si>
    <t>1375W</t>
  </si>
  <si>
    <t>0121N</t>
  </si>
  <si>
    <t>1376W</t>
  </si>
  <si>
    <t>4/1 -1 (FRI)</t>
  </si>
  <si>
    <t>4/4 -4 (MON)</t>
  </si>
  <si>
    <t>4/5 -6 (WED)</t>
  </si>
  <si>
    <t>4/8 -8 (FRI)</t>
  </si>
  <si>
    <t>4/11 -11 (MON)</t>
  </si>
  <si>
    <t>4/12 -13 (WED)</t>
  </si>
  <si>
    <t>4/15 -15 (FRI)</t>
  </si>
  <si>
    <t>4/18 -18 (MON)</t>
  </si>
  <si>
    <t>4/19 -20 (WED)</t>
  </si>
  <si>
    <t>4/22 -22 (FRI)</t>
  </si>
  <si>
    <t>4/25 -25 (MON)</t>
  </si>
  <si>
    <t>4/26 -27 (WED)</t>
  </si>
  <si>
    <t>4/29 -29 (FRI)</t>
  </si>
  <si>
    <t>5/3 -4 (WED)</t>
  </si>
  <si>
    <t>3/30 (WED)</t>
  </si>
  <si>
    <t>3/31 (THU)</t>
  </si>
  <si>
    <t>4/1 (FRI)</t>
  </si>
  <si>
    <t>4/6 (WED)</t>
  </si>
  <si>
    <t>4/7 (THU)</t>
  </si>
  <si>
    <t>4/8 (FRI)</t>
  </si>
  <si>
    <t>4/13 (WED)</t>
  </si>
  <si>
    <t>4/13 (WED)</t>
    <phoneticPr fontId="2"/>
  </si>
  <si>
    <t xml:space="preserve">4/14 (THU) </t>
    <phoneticPr fontId="2"/>
  </si>
  <si>
    <t>4/15 (FRI)</t>
  </si>
  <si>
    <t>4/20 (WED)</t>
    <phoneticPr fontId="2"/>
  </si>
  <si>
    <t>4/21 (THU)</t>
  </si>
  <si>
    <t>4/22 (FRI)</t>
  </si>
  <si>
    <t>4/22 (FRI)</t>
    <phoneticPr fontId="2"/>
  </si>
  <si>
    <t>4/27 (WED)</t>
  </si>
  <si>
    <t>4/29 (FRI)</t>
  </si>
  <si>
    <t>4/1 -1 (FRI)</t>
    <phoneticPr fontId="2"/>
  </si>
  <si>
    <t>4/4 -5 (TUE)</t>
  </si>
  <si>
    <t>4/6 -6 (WED)</t>
  </si>
  <si>
    <t>4/11 -12 (TUE)</t>
  </si>
  <si>
    <t>4/13 -13 (WED)</t>
  </si>
  <si>
    <t>4/15 -15 (FRI)</t>
    <phoneticPr fontId="2"/>
  </si>
  <si>
    <t>4/18 -19 (TUE)</t>
  </si>
  <si>
    <t>4/20 -20 (WED)</t>
  </si>
  <si>
    <t>4/25 -26 (TUE)</t>
  </si>
  <si>
    <t>4/27 -27 (WED)</t>
  </si>
  <si>
    <t>5/4 -4 (WED)</t>
  </si>
  <si>
    <t>4/4 (MON)</t>
  </si>
  <si>
    <t>4/11 (MON)</t>
  </si>
  <si>
    <t>4/18 (MON)</t>
  </si>
  <si>
    <t>4/25 (MON)</t>
  </si>
  <si>
    <t>5/2 (MON)</t>
    <phoneticPr fontId="2"/>
  </si>
  <si>
    <t>4/8 (FRI)</t>
    <phoneticPr fontId="2"/>
  </si>
  <si>
    <t>4/10 (SUN）</t>
  </si>
  <si>
    <t>4/17 (SUN）</t>
  </si>
  <si>
    <t>4/24 (SUN）</t>
  </si>
  <si>
    <t>5/1 (SUN）</t>
  </si>
  <si>
    <t>5/8 (SUN）</t>
  </si>
  <si>
    <t>0123N</t>
  </si>
  <si>
    <t>2218W</t>
  </si>
  <si>
    <t>1378W</t>
  </si>
  <si>
    <t>0124N</t>
  </si>
  <si>
    <t>2219W</t>
  </si>
  <si>
    <t>1379W</t>
  </si>
  <si>
    <t>0125N</t>
  </si>
  <si>
    <t>2220W</t>
  </si>
  <si>
    <t>1380W</t>
  </si>
  <si>
    <t>0126N</t>
  </si>
  <si>
    <t>5/13 -13 (FRI)</t>
  </si>
  <si>
    <t>5/16 -16 (MON)</t>
    <phoneticPr fontId="2"/>
  </si>
  <si>
    <t>5/17 -18 (WED)</t>
  </si>
  <si>
    <t>5/20 -20 (FRI)</t>
  </si>
  <si>
    <t>5/23 -23 (MON)</t>
  </si>
  <si>
    <t>5/24 -25 (WED)</t>
  </si>
  <si>
    <t>5/27 -27 (FRI)</t>
  </si>
  <si>
    <t>5/30 -30 (MON)</t>
  </si>
  <si>
    <t>5/31 -1 (WED)</t>
  </si>
  <si>
    <t>6/3 -3 (FRI)</t>
  </si>
  <si>
    <t>5/11 (WED)</t>
  </si>
  <si>
    <t>5/11 (WED)</t>
    <phoneticPr fontId="2"/>
  </si>
  <si>
    <t>5/12 (THU)</t>
  </si>
  <si>
    <t>5/13 (FRI)</t>
  </si>
  <si>
    <t>5/18 (WED)</t>
  </si>
  <si>
    <t>5/19 (THU)</t>
  </si>
  <si>
    <t>5/20 (FRI)</t>
  </si>
  <si>
    <t>5/25 (WED)</t>
  </si>
  <si>
    <t>5/26 (THU)</t>
  </si>
  <si>
    <t>5/27 (FRI)</t>
  </si>
  <si>
    <t>6/1 (WED)</t>
  </si>
  <si>
    <t>5/16 -17 (TUE)</t>
  </si>
  <si>
    <t>5/18 -18 (WED)</t>
  </si>
  <si>
    <t>5/23 -24 (TUE)</t>
  </si>
  <si>
    <t>5/25 -25 (WED)</t>
  </si>
  <si>
    <t>5/30 -31 (TUE)</t>
  </si>
  <si>
    <t>6/1 -1 (WED)</t>
  </si>
  <si>
    <t>5/16 (MON)</t>
  </si>
  <si>
    <t>5/23 (MON)</t>
  </si>
  <si>
    <t>5/30 (MON)</t>
  </si>
  <si>
    <t>5/22 (SUN）</t>
  </si>
  <si>
    <t>5/29 (SUN）</t>
  </si>
  <si>
    <t>6/3 (FRI)</t>
  </si>
  <si>
    <t>6/5 (SUN）</t>
  </si>
  <si>
    <t>6/6 (MON)</t>
  </si>
  <si>
    <t>0126N</t>
    <phoneticPr fontId="2"/>
  </si>
  <si>
    <t>2221W</t>
  </si>
  <si>
    <t>1381W</t>
  </si>
  <si>
    <t>0127N</t>
  </si>
  <si>
    <t>2222W</t>
  </si>
  <si>
    <t>1382W</t>
  </si>
  <si>
    <t>0128N</t>
  </si>
  <si>
    <t>2223W</t>
  </si>
  <si>
    <t>1383W</t>
  </si>
  <si>
    <t>0129N</t>
  </si>
  <si>
    <t>2224W</t>
  </si>
  <si>
    <t>1384W</t>
  </si>
  <si>
    <t>0130N</t>
  </si>
  <si>
    <t>2225W</t>
  </si>
  <si>
    <t>6/3 -3 (FRI)</t>
    <phoneticPr fontId="2"/>
  </si>
  <si>
    <t>6/6 -6 (MON)</t>
  </si>
  <si>
    <t>6/7 -8 (WED)</t>
  </si>
  <si>
    <t>6/10 -10 (FRI)</t>
  </si>
  <si>
    <t>6/13 -13 (MON)</t>
  </si>
  <si>
    <t>6/14 -15 (WED)</t>
  </si>
  <si>
    <t>6/17 -17 (FRI)</t>
  </si>
  <si>
    <t>6/20 -20 (MON)</t>
  </si>
  <si>
    <t>6/21 -22 (WED)</t>
  </si>
  <si>
    <t>6/24 -24 (FRI)</t>
  </si>
  <si>
    <t>6/27 -27 (MON)</t>
  </si>
  <si>
    <t>6/28 -29 (WED)</t>
  </si>
  <si>
    <t>7/1 -1 (FRI)</t>
  </si>
  <si>
    <t>7/4 -4 (MON)</t>
  </si>
  <si>
    <t>6/30 (THU)</t>
  </si>
  <si>
    <t>6/29 (WED)</t>
  </si>
  <si>
    <t>6/24 (FRI)</t>
  </si>
  <si>
    <t>6/23 (THU)</t>
  </si>
  <si>
    <t>6/22 (WED)</t>
  </si>
  <si>
    <t>6/22 (WED)</t>
    <phoneticPr fontId="2"/>
  </si>
  <si>
    <t>6/17 (FRI)</t>
  </si>
  <si>
    <t>6/16 (THU)</t>
  </si>
  <si>
    <t>6/15 (WED)</t>
  </si>
  <si>
    <t>6/15 (WED)</t>
    <phoneticPr fontId="2"/>
  </si>
  <si>
    <t>6/10 (FRI)</t>
  </si>
  <si>
    <t>6/9 (THU)</t>
  </si>
  <si>
    <t>6/8 (WED)</t>
  </si>
  <si>
    <t>6/2 (THU)</t>
  </si>
  <si>
    <t>6/6 -7 (TUE)</t>
  </si>
  <si>
    <t>6/8 -8 (WED)</t>
  </si>
  <si>
    <t>6/13 -14 (TUE)</t>
  </si>
  <si>
    <t>6/15 -15 (WED)</t>
    <phoneticPr fontId="2"/>
  </si>
  <si>
    <t>6/20 -21 (TUE)</t>
  </si>
  <si>
    <t>6/22 -22 (WED)</t>
  </si>
  <si>
    <t>6/27 -28 (TUE)</t>
  </si>
  <si>
    <t>6/29 -29 (WED)</t>
  </si>
  <si>
    <t>7/4 -5 (TUE)</t>
  </si>
  <si>
    <t>6/27 (MON)</t>
  </si>
  <si>
    <t>6/20 (MON)</t>
  </si>
  <si>
    <t>6/13 (MON)</t>
  </si>
  <si>
    <t>6/13 (MON)</t>
    <phoneticPr fontId="2"/>
  </si>
  <si>
    <t>6/12 (SUN）</t>
  </si>
  <si>
    <t>6/17 (FRI)</t>
    <phoneticPr fontId="2"/>
  </si>
  <si>
    <t>6/19 (SUN）</t>
  </si>
  <si>
    <t>6/26 (SUN）</t>
  </si>
  <si>
    <t>7/1 (FRI)</t>
  </si>
  <si>
    <t>7/3 (SUN）</t>
  </si>
  <si>
    <t>7/4 (MON)</t>
  </si>
  <si>
    <t>7/8 (FRI)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</si>
</sst>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9]000\-00;000\-0000"/>
    <numFmt numFmtId="177" formatCode="mmm\.dd"/>
    <numFmt numFmtId="178" formatCode="m/d"/>
    <numFmt numFmtId="179" formatCode="[$-F800]dddd\,\ mmmm\ dd\,\ yyyy"/>
    <numFmt numFmtId="180" formatCode="m/d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16"/>
      <color indexed="9"/>
      <name val="Cambria"/>
      <family val="1"/>
    </font>
    <font>
      <b/>
      <sz val="28"/>
      <color indexed="9"/>
      <name val="BatangChe"/>
      <family val="3"/>
    </font>
    <font>
      <u/>
      <sz val="24"/>
      <name val="HGSｺﾞｼｯｸE"/>
      <family val="3"/>
      <charset val="128"/>
    </font>
    <font>
      <sz val="11"/>
      <color indexed="8"/>
      <name val="ＭＳ Ｐゴシック"/>
      <family val="3"/>
      <charset val="129"/>
    </font>
    <font>
      <b/>
      <sz val="36"/>
      <color indexed="9"/>
      <name val="BatangChe"/>
      <family val="3"/>
    </font>
    <font>
      <sz val="20"/>
      <name val="ＭＳ Ｐゴシック"/>
      <family val="3"/>
      <charset val="128"/>
    </font>
    <font>
      <b/>
      <sz val="20"/>
      <color indexed="9"/>
      <name val="Cambria"/>
      <family val="1"/>
    </font>
    <font>
      <u/>
      <sz val="20"/>
      <color indexed="12"/>
      <name val="ＭＳ Ｐゴシック"/>
      <family val="3"/>
      <charset val="128"/>
    </font>
    <font>
      <u/>
      <sz val="26"/>
      <name val="HGSｺﾞｼｯｸE"/>
      <family val="3"/>
      <charset val="128"/>
    </font>
    <font>
      <sz val="26"/>
      <name val="HGPｺﾞｼｯｸE"/>
      <family val="3"/>
      <charset val="128"/>
    </font>
    <font>
      <b/>
      <sz val="26"/>
      <color indexed="9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b/>
      <sz val="28"/>
      <color rgb="FFFFFFFF"/>
      <name val="游ゴシック"/>
      <family val="3"/>
      <charset val="128"/>
    </font>
    <font>
      <b/>
      <sz val="36"/>
      <color rgb="FFFFFFFF"/>
      <name val="游ゴシック"/>
      <family val="3"/>
      <charset val="128"/>
    </font>
    <font>
      <sz val="16"/>
      <color theme="3"/>
      <name val="ＭＳ Ｐゴシック"/>
      <family val="3"/>
      <charset val="128"/>
    </font>
    <font>
      <sz val="10"/>
      <color rgb="FF000000"/>
      <name val="Times New Roman"/>
      <family val="1"/>
    </font>
    <font>
      <strike/>
      <sz val="16"/>
      <name val="ＭＳ Ｐゴシック"/>
      <family val="3"/>
      <charset val="128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indexed="64"/>
      </right>
      <top style="dashed">
        <color indexed="64"/>
      </top>
      <bottom style="thin">
        <color rgb="FF505050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77" fontId="7" fillId="0" borderId="1" applyBorder="0">
      <alignment horizont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5" fillId="0" borderId="0"/>
    <xf numFmtId="0" fontId="1" fillId="0" borderId="0">
      <alignment vertical="center"/>
    </xf>
    <xf numFmtId="0" fontId="18" fillId="0" borderId="0"/>
    <xf numFmtId="0" fontId="40" fillId="0" borderId="0"/>
    <xf numFmtId="0" fontId="42" fillId="0" borderId="0"/>
  </cellStyleXfs>
  <cellXfs count="27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/>
    <xf numFmtId="0" fontId="7" fillId="0" borderId="0" xfId="0" applyFont="1"/>
    <xf numFmtId="0" fontId="8" fillId="0" borderId="0" xfId="0" applyFont="1" applyBorder="1"/>
    <xf numFmtId="0" fontId="0" fillId="0" borderId="0" xfId="0" applyAlignment="1"/>
    <xf numFmtId="0" fontId="7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9" fontId="4" fillId="0" borderId="0" xfId="0" applyNumberFormat="1" applyFont="1" applyAlignment="1">
      <alignment horizontal="right"/>
    </xf>
    <xf numFmtId="0" fontId="7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6" fillId="0" borderId="0" xfId="0" applyFont="1" applyFill="1" applyAlignme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22" fillId="3" borderId="0" xfId="6" applyFont="1" applyFill="1" applyAlignment="1">
      <alignment horizontal="right"/>
    </xf>
    <xf numFmtId="0" fontId="0" fillId="3" borderId="0" xfId="0" applyFill="1"/>
    <xf numFmtId="0" fontId="23" fillId="0" borderId="0" xfId="6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/>
    </xf>
    <xf numFmtId="178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9" fillId="0" borderId="4" xfId="0" applyNumberFormat="1" applyFont="1" applyFill="1" applyBorder="1" applyAlignment="1">
      <alignment horizontal="left"/>
    </xf>
    <xf numFmtId="0" fontId="7" fillId="0" borderId="5" xfId="0" applyFont="1" applyBorder="1"/>
    <xf numFmtId="49" fontId="7" fillId="0" borderId="5" xfId="0" applyNumberFormat="1" applyFont="1" applyFill="1" applyBorder="1" applyAlignment="1">
      <alignment horizontal="center"/>
    </xf>
    <xf numFmtId="177" fontId="7" fillId="0" borderId="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0" fillId="0" borderId="8" xfId="0" applyNumberFormat="1" applyFont="1" applyFill="1" applyBorder="1" applyAlignment="1"/>
    <xf numFmtId="177" fontId="20" fillId="0" borderId="0" xfId="0" applyNumberFormat="1" applyFont="1" applyFill="1" applyBorder="1" applyAlignment="1"/>
    <xf numFmtId="177" fontId="7" fillId="0" borderId="9" xfId="0" applyNumberFormat="1" applyFont="1" applyFill="1" applyBorder="1" applyAlignment="1">
      <alignment horizontal="center"/>
    </xf>
    <xf numFmtId="0" fontId="0" fillId="0" borderId="10" xfId="0" applyBorder="1"/>
    <xf numFmtId="178" fontId="8" fillId="0" borderId="6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7" fillId="0" borderId="0" xfId="7" applyFont="1" applyFill="1" applyBorder="1" applyAlignment="1" applyProtection="1">
      <alignment vertical="center"/>
    </xf>
    <xf numFmtId="0" fontId="33" fillId="0" borderId="11" xfId="0" applyFont="1" applyBorder="1" applyAlignment="1">
      <alignment vertical="center"/>
    </xf>
    <xf numFmtId="0" fontId="33" fillId="0" borderId="0" xfId="0" applyFont="1"/>
    <xf numFmtId="0" fontId="0" fillId="2" borderId="0" xfId="0" applyFill="1" applyBorder="1" applyAlignment="1" applyProtection="1">
      <alignment vertical="center"/>
      <protection locked="0"/>
    </xf>
    <xf numFmtId="178" fontId="8" fillId="2" borderId="0" xfId="0" applyNumberFormat="1" applyFont="1" applyFill="1" applyBorder="1" applyAlignment="1" applyProtection="1">
      <alignment horizontal="right"/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20" fillId="0" borderId="12" xfId="0" applyNumberFormat="1" applyFont="1" applyFill="1" applyBorder="1" applyAlignment="1"/>
    <xf numFmtId="0" fontId="20" fillId="0" borderId="6" xfId="0" applyNumberFormat="1" applyFont="1" applyFill="1" applyBorder="1" applyAlignment="1"/>
    <xf numFmtId="49" fontId="20" fillId="0" borderId="6" xfId="0" applyNumberFormat="1" applyFont="1" applyFill="1" applyBorder="1" applyAlignment="1">
      <alignment horizontal="center"/>
    </xf>
    <xf numFmtId="177" fontId="20" fillId="0" borderId="6" xfId="0" applyNumberFormat="1" applyFont="1" applyFill="1" applyBorder="1" applyAlignment="1"/>
    <xf numFmtId="0" fontId="20" fillId="0" borderId="6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/>
    <xf numFmtId="0" fontId="7" fillId="0" borderId="14" xfId="0" applyFont="1" applyFill="1" applyBorder="1" applyAlignment="1">
      <alignment horizontal="center"/>
    </xf>
    <xf numFmtId="178" fontId="8" fillId="0" borderId="15" xfId="0" applyNumberFormat="1" applyFont="1" applyFill="1" applyBorder="1" applyAlignment="1"/>
    <xf numFmtId="0" fontId="13" fillId="0" borderId="0" xfId="0" applyFont="1" applyFill="1" applyAlignment="1"/>
    <xf numFmtId="0" fontId="4" fillId="0" borderId="0" xfId="0" applyFont="1" applyBorder="1" applyAlignment="1">
      <alignment vertical="center"/>
    </xf>
    <xf numFmtId="0" fontId="34" fillId="0" borderId="0" xfId="6" applyFont="1" applyFill="1" applyAlignment="1">
      <alignment horizontal="left" vertical="center"/>
    </xf>
    <xf numFmtId="178" fontId="3" fillId="0" borderId="7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3" fillId="0" borderId="18" xfId="0" applyFont="1" applyBorder="1" applyAlignment="1">
      <alignment horizontal="center" vertical="center"/>
    </xf>
    <xf numFmtId="177" fontId="34" fillId="0" borderId="0" xfId="0" applyNumberFormat="1" applyFont="1" applyFill="1" applyBorder="1" applyAlignment="1"/>
    <xf numFmtId="0" fontId="12" fillId="0" borderId="2" xfId="0" applyFont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right"/>
    </xf>
    <xf numFmtId="178" fontId="35" fillId="0" borderId="19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7" fillId="0" borderId="12" xfId="0" applyFont="1" applyFill="1" applyBorder="1" applyAlignment="1">
      <alignment horizontal="left"/>
    </xf>
    <xf numFmtId="0" fontId="0" fillId="2" borderId="0" xfId="0" applyFill="1" applyProtection="1"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176" fontId="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49" fontId="8" fillId="0" borderId="15" xfId="0" applyNumberFormat="1" applyFont="1" applyFill="1" applyBorder="1" applyAlignment="1"/>
    <xf numFmtId="49" fontId="3" fillId="0" borderId="20" xfId="0" applyNumberFormat="1" applyFont="1" applyFill="1" applyBorder="1" applyAlignment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8" fillId="0" borderId="7" xfId="0" applyNumberFormat="1" applyFont="1" applyFill="1" applyBorder="1" applyAlignment="1">
      <alignment horizontal="center"/>
    </xf>
    <xf numFmtId="178" fontId="8" fillId="0" borderId="20" xfId="0" applyNumberFormat="1" applyFont="1" applyFill="1" applyBorder="1" applyAlignment="1">
      <alignment horizontal="center"/>
    </xf>
    <xf numFmtId="178" fontId="8" fillId="0" borderId="1" xfId="0" applyNumberFormat="1" applyFont="1" applyFill="1" applyBorder="1" applyAlignment="1"/>
    <xf numFmtId="178" fontId="8" fillId="4" borderId="19" xfId="0" applyNumberFormat="1" applyFont="1" applyFill="1" applyBorder="1" applyAlignment="1">
      <alignment horizontal="right"/>
    </xf>
    <xf numFmtId="177" fontId="34" fillId="0" borderId="8" xfId="0" applyNumberFormat="1" applyFont="1" applyFill="1" applyBorder="1" applyAlignment="1"/>
    <xf numFmtId="177" fontId="20" fillId="0" borderId="8" xfId="0" applyNumberFormat="1" applyFont="1" applyFill="1" applyBorder="1" applyAlignment="1"/>
    <xf numFmtId="0" fontId="8" fillId="2" borderId="0" xfId="0" applyFont="1" applyFill="1" applyProtection="1">
      <protection locked="0"/>
    </xf>
    <xf numFmtId="0" fontId="8" fillId="0" borderId="0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right"/>
    </xf>
    <xf numFmtId="178" fontId="8" fillId="0" borderId="1" xfId="0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 horizontal="right"/>
    </xf>
    <xf numFmtId="0" fontId="8" fillId="2" borderId="0" xfId="0" applyFont="1" applyFill="1" applyAlignment="1" applyProtection="1">
      <alignment horizontal="left"/>
      <protection locked="0"/>
    </xf>
    <xf numFmtId="17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78" fontId="8" fillId="0" borderId="15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left"/>
    </xf>
    <xf numFmtId="0" fontId="27" fillId="3" borderId="0" xfId="0" applyFont="1" applyFill="1"/>
    <xf numFmtId="0" fontId="28" fillId="3" borderId="0" xfId="6" applyFont="1" applyFill="1" applyAlignment="1">
      <alignment horizontal="right"/>
    </xf>
    <xf numFmtId="0" fontId="29" fillId="3" borderId="0" xfId="2" applyFont="1" applyFill="1" applyAlignment="1" applyProtection="1">
      <alignment horizontal="right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9" fontId="8" fillId="0" borderId="6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right"/>
    </xf>
    <xf numFmtId="49" fontId="8" fillId="4" borderId="20" xfId="0" applyNumberFormat="1" applyFont="1" applyFill="1" applyBorder="1" applyAlignment="1">
      <alignment horizontal="left"/>
    </xf>
    <xf numFmtId="49" fontId="35" fillId="4" borderId="15" xfId="0" applyNumberFormat="1" applyFont="1" applyFill="1" applyBorder="1" applyAlignment="1">
      <alignment horizontal="right"/>
    </xf>
    <xf numFmtId="49" fontId="35" fillId="0" borderId="20" xfId="0" applyNumberFormat="1" applyFont="1" applyFill="1" applyBorder="1" applyAlignment="1">
      <alignment horizontal="left"/>
    </xf>
    <xf numFmtId="178" fontId="3" fillId="0" borderId="6" xfId="0" applyNumberFormat="1" applyFont="1" applyFill="1" applyBorder="1" applyAlignment="1">
      <alignment horizontal="center"/>
    </xf>
    <xf numFmtId="178" fontId="8" fillId="0" borderId="20" xfId="0" applyNumberFormat="1" applyFont="1" applyFill="1" applyBorder="1" applyAlignment="1">
      <alignment horizontal="right"/>
    </xf>
    <xf numFmtId="178" fontId="8" fillId="4" borderId="20" xfId="0" applyNumberFormat="1" applyFont="1" applyFill="1" applyBorder="1" applyAlignment="1">
      <alignment horizontal="right"/>
    </xf>
    <xf numFmtId="178" fontId="8" fillId="4" borderId="15" xfId="0" applyNumberFormat="1" applyFont="1" applyFill="1" applyBorder="1" applyAlignment="1">
      <alignment horizontal="right"/>
    </xf>
    <xf numFmtId="178" fontId="35" fillId="0" borderId="2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178" fontId="8" fillId="4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>
      <alignment horizontal="right"/>
    </xf>
    <xf numFmtId="177" fontId="8" fillId="0" borderId="0" xfId="0" applyNumberFormat="1" applyFont="1" applyAlignment="1">
      <alignment horizontal="center"/>
    </xf>
    <xf numFmtId="0" fontId="8" fillId="0" borderId="0" xfId="0" applyFont="1" applyFill="1" applyBorder="1" applyAlignment="1"/>
    <xf numFmtId="0" fontId="8" fillId="0" borderId="0" xfId="7" applyFont="1" applyFill="1" applyBorder="1" applyAlignment="1" applyProtection="1">
      <alignment vertical="center"/>
    </xf>
    <xf numFmtId="178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78" fontId="8" fillId="0" borderId="19" xfId="0" applyNumberFormat="1" applyFont="1" applyFill="1" applyBorder="1" applyAlignment="1">
      <alignment horizontal="center"/>
    </xf>
    <xf numFmtId="178" fontId="8" fillId="4" borderId="19" xfId="0" applyNumberFormat="1" applyFont="1" applyFill="1" applyBorder="1" applyAlignment="1">
      <alignment horizontal="center"/>
    </xf>
    <xf numFmtId="178" fontId="35" fillId="0" borderId="19" xfId="0" applyNumberFormat="1" applyFont="1" applyFill="1" applyBorder="1" applyAlignment="1">
      <alignment horizontal="center"/>
    </xf>
    <xf numFmtId="178" fontId="8" fillId="0" borderId="15" xfId="0" applyNumberFormat="1" applyFont="1" applyFill="1" applyBorder="1" applyAlignment="1">
      <alignment horizontal="left"/>
    </xf>
    <xf numFmtId="0" fontId="36" fillId="5" borderId="0" xfId="0" applyFont="1" applyFill="1" applyAlignment="1">
      <alignment horizontal="center"/>
    </xf>
    <xf numFmtId="0" fontId="10" fillId="0" borderId="17" xfId="0" applyFont="1" applyBorder="1" applyAlignment="1">
      <alignment horizontal="center" vertical="center"/>
    </xf>
    <xf numFmtId="56" fontId="0" fillId="0" borderId="0" xfId="0" applyNumberFormat="1" applyFill="1"/>
    <xf numFmtId="0" fontId="10" fillId="0" borderId="1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/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24" xfId="0" applyFont="1" applyFill="1" applyBorder="1" applyAlignment="1"/>
    <xf numFmtId="0" fontId="7" fillId="0" borderId="25" xfId="0" applyFont="1" applyFill="1" applyBorder="1" applyAlignment="1">
      <alignment horizontal="center"/>
    </xf>
    <xf numFmtId="178" fontId="8" fillId="0" borderId="5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/>
    <xf numFmtId="49" fontId="3" fillId="0" borderId="9" xfId="0" applyNumberFormat="1" applyFont="1" applyFill="1" applyBorder="1" applyAlignment="1"/>
    <xf numFmtId="178" fontId="3" fillId="0" borderId="10" xfId="0" applyNumberFormat="1" applyFont="1" applyFill="1" applyBorder="1" applyAlignment="1">
      <alignment horizontal="center"/>
    </xf>
    <xf numFmtId="178" fontId="8" fillId="0" borderId="4" xfId="0" applyNumberFormat="1" applyFont="1" applyFill="1" applyBorder="1" applyAlignment="1">
      <alignment horizontal="right"/>
    </xf>
    <xf numFmtId="178" fontId="8" fillId="0" borderId="26" xfId="0" applyNumberFormat="1" applyFont="1" applyFill="1" applyBorder="1" applyAlignment="1">
      <alignment horizontal="center"/>
    </xf>
    <xf numFmtId="178" fontId="8" fillId="4" borderId="26" xfId="0" applyNumberFormat="1" applyFont="1" applyFill="1" applyBorder="1" applyAlignment="1">
      <alignment horizontal="center"/>
    </xf>
    <xf numFmtId="178" fontId="35" fillId="0" borderId="2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0" fontId="7" fillId="0" borderId="20" xfId="0" applyFont="1" applyFill="1" applyBorder="1" applyAlignment="1"/>
    <xf numFmtId="0" fontId="7" fillId="0" borderId="19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/>
    </xf>
    <xf numFmtId="178" fontId="3" fillId="0" borderId="20" xfId="0" applyNumberFormat="1" applyFont="1" applyFill="1" applyBorder="1" applyAlignment="1">
      <alignment horizontal="center"/>
    </xf>
    <xf numFmtId="178" fontId="35" fillId="0" borderId="2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center"/>
    </xf>
    <xf numFmtId="178" fontId="8" fillId="0" borderId="4" xfId="0" applyNumberFormat="1" applyFont="1" applyFill="1" applyBorder="1" applyAlignment="1">
      <alignment horizontal="center"/>
    </xf>
    <xf numFmtId="178" fontId="8" fillId="0" borderId="15" xfId="0" applyNumberFormat="1" applyFont="1" applyFill="1" applyBorder="1" applyAlignment="1">
      <alignment horizontal="center"/>
    </xf>
    <xf numFmtId="178" fontId="8" fillId="0" borderId="6" xfId="0" applyNumberFormat="1" applyFont="1" applyFill="1" applyBorder="1" applyAlignment="1">
      <alignment horizontal="center"/>
    </xf>
    <xf numFmtId="178" fontId="8" fillId="0" borderId="16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78" fontId="8" fillId="0" borderId="27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39" fillId="0" borderId="2" xfId="0" applyFont="1" applyBorder="1" applyAlignment="1">
      <alignment horizontal="center" vertical="center"/>
    </xf>
    <xf numFmtId="179" fontId="0" fillId="0" borderId="0" xfId="0" applyNumberFormat="1" applyFill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/>
    </xf>
    <xf numFmtId="178" fontId="8" fillId="0" borderId="19" xfId="0" quotePrefix="1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>
      <alignment horizontal="center"/>
    </xf>
    <xf numFmtId="180" fontId="8" fillId="0" borderId="4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Border="1" applyAlignment="1">
      <alignment vertical="center"/>
    </xf>
    <xf numFmtId="180" fontId="8" fillId="0" borderId="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8" fontId="41" fillId="0" borderId="19" xfId="0" applyNumberFormat="1" applyFont="1" applyFill="1" applyBorder="1" applyAlignment="1">
      <alignment horizontal="center"/>
    </xf>
    <xf numFmtId="178" fontId="41" fillId="0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/>
    <xf numFmtId="0" fontId="7" fillId="0" borderId="28" xfId="0" applyFont="1" applyFill="1" applyBorder="1" applyAlignment="1">
      <alignment horizontal="center"/>
    </xf>
    <xf numFmtId="178" fontId="8" fillId="0" borderId="8" xfId="0" applyNumberFormat="1" applyFont="1" applyFill="1" applyBorder="1" applyAlignment="1">
      <alignment horizontal="center"/>
    </xf>
    <xf numFmtId="180" fontId="8" fillId="0" borderId="8" xfId="0" applyNumberFormat="1" applyFont="1" applyFill="1" applyBorder="1" applyAlignment="1">
      <alignment horizontal="center"/>
    </xf>
    <xf numFmtId="180" fontId="8" fillId="0" borderId="26" xfId="0" applyNumberFormat="1" applyFont="1" applyFill="1" applyBorder="1" applyAlignment="1">
      <alignment horizontal="center"/>
    </xf>
    <xf numFmtId="180" fontId="8" fillId="0" borderId="19" xfId="0" applyNumberFormat="1" applyFont="1" applyFill="1" applyBorder="1" applyAlignment="1">
      <alignment horizontal="center"/>
    </xf>
    <xf numFmtId="180" fontId="8" fillId="0" borderId="28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180" fontId="8" fillId="0" borderId="2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8" fontId="8" fillId="0" borderId="9" xfId="0" applyNumberFormat="1" applyFont="1" applyFill="1" applyBorder="1" applyAlignment="1">
      <alignment horizontal="center"/>
    </xf>
    <xf numFmtId="180" fontId="41" fillId="0" borderId="20" xfId="0" applyNumberFormat="1" applyFont="1" applyFill="1" applyBorder="1" applyAlignment="1">
      <alignment horizontal="center"/>
    </xf>
    <xf numFmtId="180" fontId="41" fillId="0" borderId="6" xfId="0" applyNumberFormat="1" applyFont="1" applyFill="1" applyBorder="1" applyAlignment="1">
      <alignment horizontal="center"/>
    </xf>
    <xf numFmtId="180" fontId="41" fillId="0" borderId="15" xfId="0" applyNumberFormat="1" applyFont="1" applyFill="1" applyBorder="1" applyAlignment="1">
      <alignment horizontal="center"/>
    </xf>
    <xf numFmtId="178" fontId="41" fillId="0" borderId="4" xfId="0" applyNumberFormat="1" applyFont="1" applyFill="1" applyBorder="1" applyAlignment="1">
      <alignment horizontal="center"/>
    </xf>
    <xf numFmtId="178" fontId="41" fillId="0" borderId="1" xfId="0" applyNumberFormat="1" applyFont="1" applyFill="1" applyBorder="1" applyAlignment="1">
      <alignment horizontal="center"/>
    </xf>
    <xf numFmtId="180" fontId="41" fillId="0" borderId="26" xfId="0" applyNumberFormat="1" applyFont="1" applyFill="1" applyBorder="1" applyAlignment="1">
      <alignment horizontal="center"/>
    </xf>
    <xf numFmtId="178" fontId="41" fillId="0" borderId="26" xfId="0" applyNumberFormat="1" applyFont="1" applyFill="1" applyBorder="1" applyAlignment="1">
      <alignment horizontal="center"/>
    </xf>
    <xf numFmtId="180" fontId="41" fillId="0" borderId="19" xfId="0" applyNumberFormat="1" applyFont="1" applyFill="1" applyBorder="1" applyAlignment="1">
      <alignment horizontal="center"/>
    </xf>
    <xf numFmtId="180" fontId="41" fillId="0" borderId="1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9" fontId="4" fillId="0" borderId="0" xfId="0" applyNumberFormat="1" applyFont="1" applyFill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8" fontId="41" fillId="0" borderId="9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8" fontId="0" fillId="0" borderId="0" xfId="0" applyNumberFormat="1"/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4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NumberFormat="1" applyFont="1" applyFill="1" applyAlignment="1" applyProtection="1">
      <alignment horizontal="right"/>
      <protection locked="0"/>
    </xf>
    <xf numFmtId="0" fontId="24" fillId="0" borderId="0" xfId="0" applyFont="1" applyFill="1" applyAlignment="1"/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7" fillId="3" borderId="0" xfId="6" applyFont="1" applyFill="1" applyAlignment="1">
      <alignment horizontal="center" vertical="center"/>
    </xf>
    <xf numFmtId="0" fontId="23" fillId="3" borderId="0" xfId="6" applyFont="1" applyFill="1" applyAlignment="1">
      <alignment horizontal="center" vertical="center"/>
    </xf>
    <xf numFmtId="0" fontId="38" fillId="3" borderId="0" xfId="6" applyFont="1" applyFill="1" applyAlignment="1">
      <alignment horizontal="center" vertical="center"/>
    </xf>
    <xf numFmtId="0" fontId="26" fillId="3" borderId="0" xfId="6" applyFont="1" applyFill="1" applyAlignment="1">
      <alignment horizontal="center" vertical="center"/>
    </xf>
    <xf numFmtId="14" fontId="27" fillId="2" borderId="0" xfId="0" applyNumberFormat="1" applyFont="1" applyFill="1" applyAlignment="1" applyProtection="1">
      <alignment horizontal="right"/>
      <protection locked="0"/>
    </xf>
    <xf numFmtId="0" fontId="27" fillId="2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/>
    <xf numFmtId="0" fontId="33" fillId="0" borderId="18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</cellXfs>
  <cellStyles count="10">
    <cellStyle name="ERVICE//" xfId="1" xr:uid="{00000000-0005-0000-0000-000000000000}"/>
    <cellStyle name="ハイパーリンク" xfId="2" builtinId="8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8" xr:uid="{3FE40136-004E-4FD1-AC67-666DD8403152}"/>
    <cellStyle name="標準 5" xfId="9" xr:uid="{473B0722-AFD7-4CEF-80B8-7F7315910E4B}"/>
    <cellStyle name="標準_dubai" xfId="6" xr:uid="{00000000-0005-0000-0000-000006000000}"/>
    <cellStyle name="標準_南北トレードスケジュール1-2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yashipping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hyashipping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hyashipping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hyashipping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hyashipping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ohyashipping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hyashipping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ohyashipping.com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ohyashipping.com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ohyashipping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hyashipping.com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ohyashipping.com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ohyashipping.com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ohyashipping.com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ohyashipping.com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ohyashipping.com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ohyashipping.com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ohyashipping.com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ohyashipping.com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ohyashipping.com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ohyashipping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hyashipping.com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ohyashipping.com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ohyashipping.com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ohyashipping.com/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ohyashipping.com/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ohyashipping.com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ohyashipping.com/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ohyashipping.com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ohyashipping.com/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ohyashipping.com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ohyashipping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hyashipping.com/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hyashipping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hyashipping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hyashipping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hyashipping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hyashipp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showGridLines="0" showOutlineSymbols="0" zoomScale="55" zoomScaleNormal="59" workbookViewId="0">
      <selection activeCell="T23" sqref="T23"/>
    </sheetView>
  </sheetViews>
  <sheetFormatPr defaultRowHeight="13.5" x14ac:dyDescent="0.15"/>
  <cols>
    <col min="1" max="1" width="16.625" customWidth="1"/>
    <col min="2" max="2" width="19.5" customWidth="1"/>
    <col min="3" max="3" width="11.75" customWidth="1"/>
    <col min="4" max="4" width="9.625" customWidth="1"/>
    <col min="5" max="5" width="6.625" customWidth="1"/>
    <col min="6" max="6" width="5" customWidth="1"/>
    <col min="7" max="7" width="11.125" customWidth="1"/>
    <col min="8" max="8" width="5" customWidth="1"/>
    <col min="9" max="9" width="19.125" customWidth="1"/>
    <col min="10" max="14" width="16.75" customWidth="1"/>
    <col min="15" max="15" width="9.375" customWidth="1"/>
    <col min="16" max="16" width="5.75" customWidth="1"/>
  </cols>
  <sheetData>
    <row r="1" spans="1:16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36"/>
      <c r="P1" s="35" t="s">
        <v>24</v>
      </c>
    </row>
    <row r="2" spans="1:16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36"/>
      <c r="P2" s="35" t="s">
        <v>25</v>
      </c>
    </row>
    <row r="3" spans="1:16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81" t="s">
        <v>26</v>
      </c>
    </row>
    <row r="4" spans="1:16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258" t="e">
        <f>#REF!</f>
        <v>#REF!</v>
      </c>
      <c r="P4" s="259"/>
    </row>
    <row r="5" spans="1:16" ht="24" customHeight="1" x14ac:dyDescent="0.2">
      <c r="A5" s="260" t="s">
        <v>27</v>
      </c>
      <c r="B5" s="260"/>
      <c r="C5" s="260"/>
      <c r="D5" s="58"/>
    </row>
    <row r="6" spans="1:16" s="13" customFormat="1" ht="24" customHeight="1" x14ac:dyDescent="0.2">
      <c r="A6" s="260"/>
      <c r="B6" s="260"/>
      <c r="C6" s="260"/>
      <c r="D6" s="39" t="s">
        <v>32</v>
      </c>
      <c r="E6" s="23"/>
      <c r="F6" s="23"/>
      <c r="G6" s="24"/>
      <c r="H6" s="24"/>
      <c r="I6" s="24"/>
      <c r="J6" s="12"/>
      <c r="L6" s="6"/>
      <c r="M6" s="6"/>
      <c r="N6" s="25"/>
      <c r="P6" s="11"/>
    </row>
    <row r="7" spans="1:16" s="13" customFormat="1" ht="22.5" customHeight="1" x14ac:dyDescent="0.3">
      <c r="A7" s="38" t="s">
        <v>35</v>
      </c>
      <c r="B7" s="17"/>
      <c r="C7" s="17"/>
      <c r="D7" s="71" t="s">
        <v>33</v>
      </c>
      <c r="E7" s="23"/>
      <c r="F7" s="23"/>
      <c r="G7" s="24"/>
      <c r="H7" s="24"/>
      <c r="I7" s="24"/>
      <c r="J7" s="12"/>
      <c r="N7" s="25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12"/>
      <c r="N8" s="25"/>
    </row>
    <row r="9" spans="1:16" s="6" customFormat="1" ht="24" customHeight="1" thickBot="1" x14ac:dyDescent="0.2">
      <c r="A9" s="88"/>
      <c r="B9" s="30"/>
      <c r="C9" s="16" t="s">
        <v>4</v>
      </c>
      <c r="D9" s="261" t="s">
        <v>36</v>
      </c>
      <c r="E9" s="262"/>
      <c r="F9" s="262"/>
      <c r="G9" s="262"/>
      <c r="H9" s="263"/>
      <c r="I9" s="100" t="s">
        <v>22</v>
      </c>
      <c r="J9" s="79" t="s">
        <v>8</v>
      </c>
      <c r="K9" s="80" t="s">
        <v>9</v>
      </c>
      <c r="L9" s="82" t="s">
        <v>10</v>
      </c>
      <c r="M9" s="80" t="s">
        <v>11</v>
      </c>
      <c r="N9" s="87" t="s">
        <v>12</v>
      </c>
    </row>
    <row r="10" spans="1:16" s="13" customFormat="1" ht="24.6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77" t="s">
        <v>6</v>
      </c>
      <c r="J10" s="84" t="s">
        <v>7</v>
      </c>
      <c r="K10" s="77" t="s">
        <v>7</v>
      </c>
      <c r="L10" s="84" t="s">
        <v>7</v>
      </c>
      <c r="M10" s="84" t="s">
        <v>7</v>
      </c>
      <c r="N10" s="84" t="s">
        <v>7</v>
      </c>
    </row>
    <row r="11" spans="1:16" ht="24.6" customHeight="1" x14ac:dyDescent="0.2">
      <c r="A11" s="89"/>
      <c r="B11" s="68"/>
      <c r="C11" s="76"/>
      <c r="D11" s="70"/>
      <c r="E11" s="98"/>
      <c r="F11" s="99"/>
      <c r="G11" s="53"/>
      <c r="H11" s="74"/>
      <c r="I11" s="85"/>
      <c r="J11" s="85"/>
      <c r="K11" s="85"/>
      <c r="L11" s="86"/>
      <c r="M11" s="85"/>
      <c r="N11" s="85"/>
      <c r="O11" s="72" t="s">
        <v>29</v>
      </c>
    </row>
    <row r="12" spans="1:16" ht="24.6" customHeight="1" x14ac:dyDescent="0.2">
      <c r="A12" s="89"/>
      <c r="B12" s="68"/>
      <c r="C12" s="69"/>
      <c r="D12" s="70"/>
      <c r="E12" s="98"/>
      <c r="F12" s="99"/>
      <c r="G12" s="53"/>
      <c r="H12" s="74"/>
      <c r="I12" s="85"/>
      <c r="J12" s="85"/>
      <c r="K12" s="85"/>
      <c r="L12" s="86"/>
      <c r="M12" s="85"/>
      <c r="N12" s="85"/>
      <c r="O12" s="72" t="s">
        <v>28</v>
      </c>
    </row>
    <row r="13" spans="1:16" ht="24.6" customHeight="1" x14ac:dyDescent="0.2">
      <c r="A13" s="89"/>
      <c r="B13" s="68"/>
      <c r="C13" s="69"/>
      <c r="D13" s="70"/>
      <c r="E13" s="98"/>
      <c r="F13" s="99"/>
      <c r="G13" s="53"/>
      <c r="H13" s="74"/>
      <c r="I13" s="85"/>
      <c r="J13" s="85"/>
      <c r="K13" s="85"/>
      <c r="L13" s="86"/>
      <c r="M13" s="85"/>
      <c r="N13" s="85"/>
      <c r="O13" s="72"/>
    </row>
    <row r="14" spans="1:16" ht="24.6" customHeight="1" x14ac:dyDescent="0.2">
      <c r="A14" s="89"/>
      <c r="B14" s="68"/>
      <c r="C14" s="69"/>
      <c r="D14" s="70"/>
      <c r="E14" s="98"/>
      <c r="F14" s="99"/>
      <c r="G14" s="53"/>
      <c r="H14" s="74"/>
      <c r="I14" s="85"/>
      <c r="J14" s="85"/>
      <c r="K14" s="85"/>
      <c r="L14" s="86"/>
      <c r="M14" s="85"/>
      <c r="N14" s="85"/>
      <c r="O14" s="72"/>
    </row>
    <row r="15" spans="1:16" ht="24.6" customHeight="1" x14ac:dyDescent="0.2">
      <c r="A15" s="89"/>
      <c r="B15" s="68"/>
      <c r="C15" s="69"/>
      <c r="D15" s="70"/>
      <c r="E15" s="98"/>
      <c r="F15" s="99"/>
      <c r="G15" s="53"/>
      <c r="H15" s="74"/>
      <c r="I15" s="85"/>
      <c r="J15" s="85"/>
      <c r="K15" s="85"/>
      <c r="L15" s="86"/>
      <c r="M15" s="85"/>
      <c r="N15" s="85"/>
      <c r="O15" s="72"/>
    </row>
    <row r="16" spans="1:16" ht="24.6" customHeight="1" x14ac:dyDescent="0.2">
      <c r="A16" s="89"/>
      <c r="B16" s="68"/>
      <c r="C16" s="69"/>
      <c r="D16" s="70"/>
      <c r="E16" s="98"/>
      <c r="F16" s="99"/>
      <c r="G16" s="53"/>
      <c r="H16" s="74"/>
      <c r="I16" s="85"/>
      <c r="J16" s="85"/>
      <c r="K16" s="85"/>
      <c r="L16" s="86"/>
      <c r="M16" s="85"/>
      <c r="N16" s="85"/>
      <c r="O16" s="72"/>
    </row>
    <row r="17" spans="1:15" ht="24.6" customHeight="1" x14ac:dyDescent="0.2">
      <c r="A17" s="89"/>
      <c r="B17" s="68"/>
      <c r="C17" s="69"/>
      <c r="D17" s="70"/>
      <c r="E17" s="98"/>
      <c r="F17" s="99"/>
      <c r="G17" s="53"/>
      <c r="H17" s="74"/>
      <c r="I17" s="85"/>
      <c r="J17" s="85"/>
      <c r="K17" s="85"/>
      <c r="L17" s="86"/>
      <c r="M17" s="85"/>
      <c r="N17" s="85"/>
      <c r="O17" s="72"/>
    </row>
    <row r="18" spans="1:15" ht="24.6" customHeight="1" x14ac:dyDescent="0.2">
      <c r="A18" s="89"/>
      <c r="B18" s="68"/>
      <c r="C18" s="69"/>
      <c r="D18" s="70"/>
      <c r="E18" s="98"/>
      <c r="F18" s="99"/>
      <c r="G18" s="53"/>
      <c r="H18" s="74"/>
      <c r="I18" s="85"/>
      <c r="J18" s="85"/>
      <c r="K18" s="85"/>
      <c r="L18" s="86"/>
      <c r="M18" s="85"/>
      <c r="N18" s="85"/>
      <c r="O18" s="72"/>
    </row>
    <row r="19" spans="1:15" ht="24.6" customHeight="1" x14ac:dyDescent="0.2">
      <c r="A19" s="89"/>
      <c r="B19" s="68"/>
      <c r="C19" s="69"/>
      <c r="D19" s="70"/>
      <c r="E19" s="98"/>
      <c r="F19" s="99"/>
      <c r="G19" s="53"/>
      <c r="H19" s="74"/>
      <c r="I19" s="85"/>
      <c r="J19" s="85"/>
      <c r="K19" s="85"/>
      <c r="L19" s="86"/>
      <c r="M19" s="85"/>
      <c r="N19" s="85"/>
      <c r="O19" s="72"/>
    </row>
    <row r="20" spans="1:15" ht="24.6" customHeight="1" x14ac:dyDescent="0.2">
      <c r="A20" s="89"/>
      <c r="B20" s="68"/>
      <c r="C20" s="69"/>
      <c r="D20" s="70"/>
      <c r="E20" s="98"/>
      <c r="F20" s="99"/>
      <c r="G20" s="53"/>
      <c r="H20" s="74"/>
      <c r="I20" s="85"/>
      <c r="J20" s="85"/>
      <c r="K20" s="85"/>
      <c r="L20" s="86"/>
      <c r="M20" s="85"/>
      <c r="N20" s="85"/>
      <c r="O20" s="72"/>
    </row>
    <row r="21" spans="1:15" ht="24.6" customHeight="1" x14ac:dyDescent="0.2">
      <c r="A21" s="89"/>
      <c r="B21" s="68"/>
      <c r="C21" s="69"/>
      <c r="D21" s="70"/>
      <c r="E21" s="98"/>
      <c r="F21" s="99"/>
      <c r="G21" s="53"/>
      <c r="H21" s="74"/>
      <c r="I21" s="85"/>
      <c r="J21" s="85"/>
      <c r="K21" s="85"/>
      <c r="L21" s="86"/>
      <c r="M21" s="85"/>
      <c r="N21" s="85"/>
      <c r="O21" s="72"/>
    </row>
    <row r="22" spans="1:15" ht="24.6" customHeight="1" x14ac:dyDescent="0.2">
      <c r="A22" s="89"/>
      <c r="B22" s="68"/>
      <c r="C22" s="69"/>
      <c r="D22" s="70"/>
      <c r="E22" s="98"/>
      <c r="F22" s="99"/>
      <c r="G22" s="53"/>
      <c r="H22" s="74"/>
      <c r="I22" s="85"/>
      <c r="J22" s="85"/>
      <c r="K22" s="85"/>
      <c r="L22" s="86"/>
      <c r="M22" s="85"/>
      <c r="N22" s="85"/>
      <c r="O22" s="72" t="s">
        <v>28</v>
      </c>
    </row>
    <row r="23" spans="1:15" ht="24.6" customHeight="1" x14ac:dyDescent="0.2">
      <c r="A23" s="89"/>
      <c r="B23" s="68"/>
      <c r="C23" s="69"/>
      <c r="D23" s="70"/>
      <c r="E23" s="98"/>
      <c r="F23" s="99"/>
      <c r="G23" s="53"/>
      <c r="H23" s="74"/>
      <c r="I23" s="85"/>
      <c r="J23" s="85"/>
      <c r="K23" s="85"/>
      <c r="L23" s="86"/>
      <c r="M23" s="85"/>
      <c r="N23" s="85"/>
      <c r="O23" s="72" t="s">
        <v>28</v>
      </c>
    </row>
    <row r="24" spans="1:15" ht="24.6" customHeight="1" x14ac:dyDescent="0.2">
      <c r="A24" s="89"/>
      <c r="B24" s="68"/>
      <c r="C24" s="69"/>
      <c r="D24" s="70"/>
      <c r="E24" s="98"/>
      <c r="F24" s="99"/>
      <c r="G24" s="53"/>
      <c r="H24" s="74"/>
      <c r="I24" s="85"/>
      <c r="J24" s="85"/>
      <c r="K24" s="85"/>
      <c r="L24" s="86"/>
      <c r="M24" s="85"/>
      <c r="N24" s="85"/>
      <c r="O24" s="72"/>
    </row>
    <row r="25" spans="1:15" ht="24.6" customHeight="1" x14ac:dyDescent="0.2">
      <c r="A25" s="89"/>
      <c r="B25" s="68"/>
      <c r="C25" s="69"/>
      <c r="D25" s="70"/>
      <c r="E25" s="98"/>
      <c r="F25" s="99"/>
      <c r="G25" s="53"/>
      <c r="H25" s="74"/>
      <c r="I25" s="85"/>
      <c r="J25" s="85"/>
      <c r="K25" s="85"/>
      <c r="L25" s="86"/>
      <c r="M25" s="85"/>
      <c r="N25" s="85"/>
      <c r="O25" s="72"/>
    </row>
    <row r="26" spans="1:15" ht="27.75" customHeight="1" thickBot="1" x14ac:dyDescent="0.25">
      <c r="A26" s="67"/>
      <c r="B26" s="18"/>
      <c r="C26" s="9"/>
      <c r="D26" s="54"/>
      <c r="E26" s="55"/>
      <c r="F26" s="78"/>
      <c r="G26" s="54"/>
      <c r="H26" s="75"/>
      <c r="I26" s="75"/>
      <c r="J26" s="54"/>
      <c r="K26" s="54"/>
      <c r="L26" s="54"/>
      <c r="M26" s="54"/>
      <c r="N26" s="54"/>
      <c r="O26" s="72"/>
    </row>
    <row r="27" spans="1:15" ht="24.6" customHeight="1" thickBot="1" x14ac:dyDescent="0.2">
      <c r="A27" s="88"/>
      <c r="B27" s="30"/>
      <c r="C27" s="16"/>
      <c r="D27" s="261"/>
      <c r="E27" s="262"/>
      <c r="F27" s="262"/>
      <c r="G27" s="262"/>
      <c r="H27" s="263"/>
      <c r="I27" s="100"/>
      <c r="J27" s="79"/>
      <c r="K27" s="80"/>
      <c r="L27" s="82"/>
      <c r="M27" s="80"/>
      <c r="N27" s="87"/>
      <c r="O27" s="72"/>
    </row>
    <row r="28" spans="1:15" ht="24.6" customHeight="1" thickBot="1" x14ac:dyDescent="0.2">
      <c r="A28" s="264"/>
      <c r="B28" s="265"/>
      <c r="C28" s="101"/>
      <c r="D28" s="264"/>
      <c r="E28" s="266"/>
      <c r="F28" s="265"/>
      <c r="G28" s="264"/>
      <c r="H28" s="265"/>
      <c r="I28" s="77"/>
      <c r="J28" s="84"/>
      <c r="K28" s="77"/>
      <c r="L28" s="84"/>
      <c r="M28" s="84"/>
      <c r="N28" s="84"/>
      <c r="O28" s="72"/>
    </row>
    <row r="29" spans="1:15" ht="24.6" customHeight="1" x14ac:dyDescent="0.2">
      <c r="A29" s="89"/>
      <c r="B29" s="68"/>
      <c r="C29" s="76"/>
      <c r="D29" s="70"/>
      <c r="E29" s="98"/>
      <c r="F29" s="99"/>
      <c r="G29" s="53"/>
      <c r="H29" s="74"/>
      <c r="I29" s="85"/>
      <c r="J29" s="85"/>
      <c r="K29" s="85"/>
      <c r="L29" s="86"/>
      <c r="M29" s="85"/>
      <c r="N29" s="85"/>
      <c r="O29" s="72"/>
    </row>
    <row r="30" spans="1:15" ht="24.6" customHeight="1" x14ac:dyDescent="0.2">
      <c r="A30" s="89"/>
      <c r="B30" s="68"/>
      <c r="C30" s="69"/>
      <c r="D30" s="70"/>
      <c r="E30" s="98"/>
      <c r="F30" s="99"/>
      <c r="G30" s="53"/>
      <c r="H30" s="74"/>
      <c r="I30" s="85"/>
      <c r="J30" s="85"/>
      <c r="K30" s="85"/>
      <c r="L30" s="86"/>
      <c r="M30" s="85"/>
      <c r="N30" s="85"/>
      <c r="O30" s="72"/>
    </row>
    <row r="31" spans="1:15" ht="24.6" customHeight="1" x14ac:dyDescent="0.2">
      <c r="A31" s="89"/>
      <c r="B31" s="68"/>
      <c r="C31" s="69"/>
      <c r="D31" s="70"/>
      <c r="E31" s="98"/>
      <c r="F31" s="99"/>
      <c r="G31" s="53"/>
      <c r="H31" s="74"/>
      <c r="I31" s="85"/>
      <c r="J31" s="85"/>
      <c r="K31" s="85"/>
      <c r="L31" s="86"/>
      <c r="M31" s="85"/>
      <c r="N31" s="85"/>
      <c r="O31" s="72"/>
    </row>
    <row r="32" spans="1:15" ht="24.6" customHeight="1" x14ac:dyDescent="0.2">
      <c r="A32" s="89"/>
      <c r="B32" s="68"/>
      <c r="C32" s="69"/>
      <c r="D32" s="70"/>
      <c r="E32" s="98"/>
      <c r="F32" s="99"/>
      <c r="G32" s="53"/>
      <c r="H32" s="74"/>
      <c r="I32" s="85"/>
      <c r="J32" s="85"/>
      <c r="K32" s="85"/>
      <c r="L32" s="86"/>
      <c r="M32" s="85"/>
      <c r="N32" s="85"/>
      <c r="O32" s="72"/>
    </row>
    <row r="33" spans="1:32" ht="24.6" customHeight="1" x14ac:dyDescent="0.2">
      <c r="A33" s="89"/>
      <c r="B33" s="68"/>
      <c r="C33" s="69"/>
      <c r="D33" s="70"/>
      <c r="E33" s="98"/>
      <c r="F33" s="99"/>
      <c r="G33" s="53"/>
      <c r="H33" s="74"/>
      <c r="I33" s="85"/>
      <c r="J33" s="85"/>
      <c r="K33" s="85"/>
      <c r="L33" s="86"/>
      <c r="M33" s="85"/>
      <c r="N33" s="85"/>
      <c r="O33" s="72"/>
    </row>
    <row r="34" spans="1:32" ht="24.6" customHeight="1" x14ac:dyDescent="0.2">
      <c r="A34" s="89"/>
      <c r="B34" s="68"/>
      <c r="C34" s="69"/>
      <c r="D34" s="70"/>
      <c r="E34" s="98"/>
      <c r="F34" s="99"/>
      <c r="G34" s="53"/>
      <c r="H34" s="74"/>
      <c r="I34" s="85"/>
      <c r="J34" s="85"/>
      <c r="K34" s="85"/>
      <c r="L34" s="86"/>
      <c r="M34" s="85"/>
      <c r="N34" s="85"/>
      <c r="O34" s="72"/>
    </row>
    <row r="35" spans="1:32" ht="24.6" customHeight="1" x14ac:dyDescent="0.2">
      <c r="A35" s="89"/>
      <c r="B35" s="68"/>
      <c r="C35" s="69"/>
      <c r="D35" s="70"/>
      <c r="E35" s="98"/>
      <c r="F35" s="99"/>
      <c r="G35" s="53"/>
      <c r="H35" s="74"/>
      <c r="I35" s="85"/>
      <c r="J35" s="85"/>
      <c r="K35" s="85"/>
      <c r="L35" s="86"/>
      <c r="M35" s="85"/>
      <c r="N35" s="85"/>
      <c r="O35" s="72"/>
    </row>
    <row r="36" spans="1:32" ht="24.6" customHeight="1" x14ac:dyDescent="0.2">
      <c r="A36" s="89"/>
      <c r="B36" s="68"/>
      <c r="C36" s="69"/>
      <c r="D36" s="70"/>
      <c r="E36" s="98"/>
      <c r="F36" s="99"/>
      <c r="G36" s="53"/>
      <c r="H36" s="74"/>
      <c r="I36" s="85"/>
      <c r="J36" s="85"/>
      <c r="K36" s="85"/>
      <c r="L36" s="86"/>
      <c r="M36" s="85"/>
      <c r="N36" s="85"/>
      <c r="O36" s="72"/>
    </row>
    <row r="37" spans="1:32" ht="24.6" customHeight="1" x14ac:dyDescent="0.2">
      <c r="A37" s="89"/>
      <c r="B37" s="68"/>
      <c r="C37" s="69"/>
      <c r="D37" s="70"/>
      <c r="E37" s="98"/>
      <c r="F37" s="99"/>
      <c r="G37" s="53"/>
      <c r="H37" s="74"/>
      <c r="I37" s="85"/>
      <c r="J37" s="85"/>
      <c r="K37" s="85"/>
      <c r="L37" s="86"/>
      <c r="M37" s="85"/>
      <c r="N37" s="85"/>
      <c r="O37" s="72"/>
    </row>
    <row r="38" spans="1:32" ht="24.6" customHeight="1" x14ac:dyDescent="0.2">
      <c r="A38" s="89"/>
      <c r="B38" s="68"/>
      <c r="C38" s="69"/>
      <c r="D38" s="70"/>
      <c r="E38" s="98"/>
      <c r="F38" s="99"/>
      <c r="G38" s="53"/>
      <c r="H38" s="74"/>
      <c r="I38" s="85"/>
      <c r="J38" s="85"/>
      <c r="K38" s="85"/>
      <c r="L38" s="86"/>
      <c r="M38" s="85"/>
      <c r="N38" s="85"/>
      <c r="O38" s="72"/>
    </row>
    <row r="39" spans="1:32" ht="24.6" customHeight="1" x14ac:dyDescent="0.2">
      <c r="A39" s="89"/>
      <c r="B39" s="68"/>
      <c r="C39" s="69"/>
      <c r="D39" s="70"/>
      <c r="E39" s="98"/>
      <c r="F39" s="99"/>
      <c r="G39" s="53"/>
      <c r="H39" s="74"/>
      <c r="I39" s="85"/>
      <c r="J39" s="85"/>
      <c r="K39" s="85"/>
      <c r="L39" s="86"/>
      <c r="M39" s="85"/>
      <c r="N39" s="85"/>
      <c r="O39" s="72"/>
    </row>
    <row r="40" spans="1:32" ht="24.6" customHeight="1" x14ac:dyDescent="0.2">
      <c r="A40" s="89"/>
      <c r="B40" s="68"/>
      <c r="C40" s="69"/>
      <c r="D40" s="70"/>
      <c r="E40" s="98"/>
      <c r="F40" s="99"/>
      <c r="G40" s="53"/>
      <c r="H40" s="74"/>
      <c r="I40" s="85"/>
      <c r="J40" s="85"/>
      <c r="K40" s="85"/>
      <c r="L40" s="86"/>
      <c r="M40" s="85"/>
      <c r="N40" s="85"/>
      <c r="O40" s="72"/>
    </row>
    <row r="41" spans="1:32" ht="24.6" customHeight="1" x14ac:dyDescent="0.2">
      <c r="A41" s="89"/>
      <c r="B41" s="68"/>
      <c r="C41" s="69"/>
      <c r="D41" s="70"/>
      <c r="E41" s="98"/>
      <c r="F41" s="99"/>
      <c r="G41" s="53"/>
      <c r="H41" s="74"/>
      <c r="I41" s="85"/>
      <c r="J41" s="85"/>
      <c r="K41" s="85"/>
      <c r="L41" s="86"/>
      <c r="M41" s="85"/>
      <c r="N41" s="85"/>
      <c r="O41" s="72"/>
    </row>
    <row r="42" spans="1:32" ht="24.6" customHeight="1" x14ac:dyDescent="0.2">
      <c r="A42" s="89"/>
      <c r="B42" s="68"/>
      <c r="C42" s="69"/>
      <c r="D42" s="70"/>
      <c r="E42" s="98"/>
      <c r="F42" s="99"/>
      <c r="G42" s="53"/>
      <c r="H42" s="74"/>
      <c r="I42" s="85"/>
      <c r="J42" s="85"/>
      <c r="K42" s="85"/>
      <c r="L42" s="86"/>
      <c r="M42" s="85"/>
      <c r="N42" s="85"/>
      <c r="O42" s="72"/>
    </row>
    <row r="43" spans="1:32" ht="24.6" customHeight="1" x14ac:dyDescent="0.2">
      <c r="A43" s="89"/>
      <c r="B43" s="68"/>
      <c r="C43" s="69"/>
      <c r="D43" s="70"/>
      <c r="E43" s="98"/>
      <c r="F43" s="99"/>
      <c r="G43" s="53"/>
      <c r="H43" s="74"/>
      <c r="I43" s="85"/>
      <c r="J43" s="85"/>
      <c r="K43" s="85"/>
      <c r="L43" s="86"/>
      <c r="M43" s="85"/>
      <c r="N43" s="85"/>
      <c r="O43" s="72"/>
    </row>
    <row r="44" spans="1:32" ht="24.6" customHeight="1" x14ac:dyDescent="0.2">
      <c r="A44" s="67"/>
      <c r="B44" s="18"/>
      <c r="C44" s="9"/>
      <c r="D44" s="54"/>
      <c r="E44" s="55"/>
      <c r="F44" s="78"/>
      <c r="G44" s="54"/>
      <c r="H44" s="75"/>
      <c r="I44" s="75"/>
      <c r="J44" s="54"/>
      <c r="K44" s="54"/>
      <c r="L44" s="54"/>
      <c r="M44" s="54"/>
      <c r="N44" s="54"/>
      <c r="O44" s="72"/>
    </row>
    <row r="45" spans="1:32" ht="24" customHeight="1" x14ac:dyDescent="0.2">
      <c r="A45" s="15" t="s">
        <v>13</v>
      </c>
      <c r="B45" s="15"/>
      <c r="J45" s="90"/>
      <c r="K45" s="90"/>
      <c r="L45" s="54"/>
      <c r="M45" s="54"/>
      <c r="N45" s="54"/>
      <c r="O45" s="72"/>
    </row>
    <row r="46" spans="1:32" ht="24" customHeight="1" x14ac:dyDescent="0.2">
      <c r="A46" s="15"/>
      <c r="B46" s="15"/>
      <c r="C46" s="91" t="s">
        <v>2</v>
      </c>
      <c r="G46" s="92"/>
      <c r="H46" s="1"/>
      <c r="I46" s="1"/>
      <c r="J46" s="90"/>
      <c r="K46" s="90"/>
      <c r="L46" s="54"/>
      <c r="M46" s="54"/>
      <c r="N46" s="54"/>
      <c r="O46" s="72"/>
    </row>
    <row r="47" spans="1:32" s="2" customFormat="1" ht="24" customHeight="1" x14ac:dyDescent="0.2">
      <c r="A47" s="93"/>
      <c r="B47" s="93"/>
      <c r="C47" s="91" t="s">
        <v>3</v>
      </c>
      <c r="D47"/>
      <c r="E47"/>
      <c r="F47"/>
      <c r="G47" s="92"/>
      <c r="H47"/>
      <c r="I47"/>
      <c r="J47" s="90"/>
      <c r="K47" s="90"/>
      <c r="L47"/>
      <c r="M47"/>
      <c r="N47"/>
      <c r="O47"/>
      <c r="P47"/>
    </row>
    <row r="48" spans="1:32" s="33" customFormat="1" ht="24" customHeight="1" x14ac:dyDescent="0.2">
      <c r="A48" s="94"/>
      <c r="B48" s="94"/>
      <c r="C48" s="15" t="s">
        <v>15</v>
      </c>
      <c r="D48"/>
      <c r="E48"/>
      <c r="F48"/>
      <c r="G48" s="92"/>
      <c r="H48" s="4"/>
      <c r="I48" s="4"/>
      <c r="J48" s="32"/>
      <c r="K48" s="32"/>
      <c r="L48" s="19"/>
      <c r="M48" s="21"/>
      <c r="N48" s="8"/>
      <c r="O48"/>
      <c r="P48"/>
      <c r="Q48"/>
      <c r="R48"/>
      <c r="S48"/>
      <c r="T48"/>
      <c r="U48"/>
      <c r="V48" s="15"/>
      <c r="W48" s="15"/>
      <c r="X48" s="15"/>
      <c r="Y48"/>
      <c r="Z48"/>
      <c r="AA48"/>
      <c r="AB48"/>
      <c r="AC48"/>
      <c r="AD48"/>
      <c r="AE48" s="90"/>
      <c r="AF48" s="90"/>
    </row>
    <row r="49" spans="1:32" s="33" customFormat="1" ht="24" customHeight="1" x14ac:dyDescent="0.2">
      <c r="A49" s="15"/>
      <c r="B49" s="15"/>
      <c r="C49" s="15" t="s">
        <v>14</v>
      </c>
      <c r="D49" s="96"/>
      <c r="E49" s="96"/>
      <c r="F49" s="97"/>
      <c r="G49"/>
      <c r="H49" s="1"/>
      <c r="I49" s="1"/>
      <c r="J49" s="32"/>
      <c r="K49" s="32"/>
      <c r="L49" s="19"/>
      <c r="M49" s="21"/>
      <c r="N49" s="7"/>
      <c r="O49" s="5"/>
      <c r="P49" s="5"/>
      <c r="Q49"/>
      <c r="R49" s="91"/>
      <c r="S49"/>
      <c r="T49"/>
      <c r="U49"/>
      <c r="V49" s="15"/>
      <c r="W49" s="15"/>
      <c r="X49" s="15"/>
      <c r="Y49" s="91"/>
      <c r="Z49"/>
      <c r="AA49"/>
      <c r="AB49"/>
      <c r="AC49" s="92"/>
      <c r="AD49" s="1"/>
      <c r="AE49" s="90"/>
      <c r="AF49" s="90"/>
    </row>
    <row r="50" spans="1:32" s="33" customFormat="1" ht="23.25" customHeight="1" x14ac:dyDescent="0.2">
      <c r="A50"/>
      <c r="B50"/>
      <c r="C50"/>
      <c r="D50"/>
      <c r="E50"/>
      <c r="F50"/>
      <c r="G50"/>
      <c r="H50"/>
      <c r="I50"/>
      <c r="J50"/>
      <c r="K50" s="26"/>
      <c r="L50" s="19"/>
      <c r="M50" s="21"/>
      <c r="N50" s="8"/>
      <c r="Q50"/>
      <c r="R50" s="10"/>
      <c r="S50"/>
      <c r="T50"/>
      <c r="U50"/>
      <c r="V50" s="15"/>
      <c r="W50" s="93"/>
      <c r="X50" s="93"/>
      <c r="Y50" s="91"/>
      <c r="Z50"/>
      <c r="AA50"/>
      <c r="AB50"/>
      <c r="AC50" s="92"/>
      <c r="AD50"/>
      <c r="AE50" s="90"/>
      <c r="AF50" s="90"/>
    </row>
    <row r="51" spans="1:32" s="33" customFormat="1" ht="24" customHeight="1" x14ac:dyDescent="0.2">
      <c r="A51" s="42" t="s">
        <v>1</v>
      </c>
      <c r="B51" s="43"/>
      <c r="C51" s="44"/>
      <c r="D51" s="45"/>
      <c r="E51" s="45"/>
      <c r="F51" s="45"/>
      <c r="G51" s="45"/>
      <c r="H51" s="51"/>
      <c r="I51" s="20"/>
      <c r="J51" s="14"/>
      <c r="K51" s="15"/>
      <c r="L51" s="15"/>
      <c r="M51"/>
      <c r="N51"/>
      <c r="O51"/>
      <c r="P51"/>
      <c r="Q51"/>
      <c r="R51" s="10"/>
      <c r="S51"/>
      <c r="T51"/>
      <c r="U51"/>
      <c r="V51"/>
      <c r="W51" s="94"/>
      <c r="X51" s="94"/>
      <c r="Y51" s="15"/>
      <c r="Z51"/>
      <c r="AA51"/>
      <c r="AB51"/>
      <c r="AC51" s="92"/>
      <c r="AD51" s="4"/>
      <c r="AE51" s="32"/>
      <c r="AF51" s="32"/>
    </row>
    <row r="52" spans="1:32" s="59" customFormat="1" ht="24" customHeight="1" x14ac:dyDescent="0.2">
      <c r="A52" s="83" t="s">
        <v>18</v>
      </c>
      <c r="B52" s="2"/>
      <c r="C52" s="2"/>
      <c r="D52" s="46"/>
      <c r="E52" s="52" t="s">
        <v>33</v>
      </c>
      <c r="F52" s="29"/>
      <c r="G52" s="46"/>
      <c r="H52" s="52"/>
      <c r="I52" s="2"/>
      <c r="J52" s="15"/>
      <c r="K52" s="15"/>
      <c r="L52" s="15"/>
      <c r="M52" s="91"/>
      <c r="N52"/>
      <c r="O52"/>
      <c r="P52"/>
      <c r="Q52"/>
      <c r="R52"/>
      <c r="S52"/>
      <c r="T52"/>
      <c r="U52"/>
      <c r="V52" s="15"/>
      <c r="W52" s="15"/>
      <c r="X52" s="15"/>
      <c r="Y52" s="15"/>
      <c r="Z52" s="96"/>
      <c r="AA52" s="96"/>
      <c r="AB52" s="97"/>
      <c r="AC52"/>
      <c r="AD52" s="1"/>
      <c r="AE52" s="32"/>
      <c r="AF52" s="32"/>
    </row>
    <row r="53" spans="1:32" s="59" customFormat="1" ht="24" customHeight="1" x14ac:dyDescent="0.2">
      <c r="A53" s="49" t="s">
        <v>17</v>
      </c>
      <c r="B53" s="27"/>
      <c r="C53" s="28"/>
      <c r="D53" s="50" t="s">
        <v>33</v>
      </c>
      <c r="E53" s="2"/>
      <c r="F53" s="2"/>
      <c r="G53" s="29"/>
      <c r="H53" s="52"/>
      <c r="I53" s="2"/>
      <c r="K53" s="15"/>
      <c r="L53" s="15"/>
      <c r="M53" s="10"/>
      <c r="N53"/>
      <c r="O53"/>
      <c r="P53"/>
    </row>
    <row r="54" spans="1:32" s="59" customFormat="1" ht="24" customHeight="1" x14ac:dyDescent="0.2">
      <c r="A54" s="50" t="s">
        <v>19</v>
      </c>
      <c r="B54" s="2"/>
      <c r="C54" s="2"/>
      <c r="D54" s="29"/>
      <c r="E54" s="2"/>
      <c r="F54" s="2"/>
      <c r="G54" s="29"/>
      <c r="H54" s="52"/>
      <c r="I54" s="2"/>
      <c r="J54"/>
      <c r="K54"/>
      <c r="L54"/>
      <c r="M54" s="15"/>
      <c r="N54" s="10"/>
      <c r="O54"/>
      <c r="P54"/>
    </row>
    <row r="55" spans="1:32" s="59" customFormat="1" ht="24" customHeight="1" x14ac:dyDescent="0.2">
      <c r="A55" s="50" t="s">
        <v>20</v>
      </c>
      <c r="B55" s="2"/>
      <c r="C55" s="2"/>
      <c r="D55" s="29"/>
      <c r="E55" s="2"/>
      <c r="F55" s="2"/>
      <c r="G55" s="29"/>
      <c r="H55" s="52"/>
      <c r="I55" s="2"/>
      <c r="J55"/>
      <c r="K55" s="95"/>
      <c r="L55" t="s">
        <v>34</v>
      </c>
      <c r="M55"/>
      <c r="N55"/>
      <c r="O55"/>
      <c r="P55"/>
    </row>
    <row r="56" spans="1:32" s="59" customFormat="1" ht="24" customHeight="1" x14ac:dyDescent="0.2">
      <c r="A56" s="62" t="s">
        <v>33</v>
      </c>
      <c r="B56" s="63"/>
      <c r="C56" s="64"/>
      <c r="D56" s="65"/>
      <c r="E56" s="47"/>
      <c r="F56" s="47"/>
      <c r="G56" s="66"/>
      <c r="H56" s="48"/>
      <c r="I56" s="2"/>
      <c r="J56" s="58"/>
      <c r="K56"/>
      <c r="L56"/>
      <c r="M56"/>
      <c r="N56"/>
    </row>
    <row r="57" spans="1:32" s="59" customFormat="1" ht="24" customHeight="1" x14ac:dyDescent="0.2">
      <c r="A57" s="18"/>
      <c r="B57" s="56"/>
      <c r="C57" s="22"/>
      <c r="D57" s="60"/>
      <c r="E57" s="61"/>
      <c r="F57" s="41"/>
      <c r="G57" s="60"/>
      <c r="H57" s="40"/>
      <c r="I57" s="40"/>
      <c r="J57" s="60"/>
    </row>
    <row r="58" spans="1:32" s="59" customFormat="1" ht="24" customHeight="1" x14ac:dyDescent="0.2">
      <c r="A58" s="58" t="s">
        <v>16</v>
      </c>
      <c r="B58" s="56"/>
      <c r="C58" s="22"/>
      <c r="D58" s="60"/>
      <c r="E58" s="61"/>
      <c r="F58" s="41"/>
      <c r="G58" s="60"/>
      <c r="J58" s="58"/>
      <c r="K58" s="34"/>
    </row>
    <row r="59" spans="1:32" s="59" customFormat="1" ht="24" customHeight="1" x14ac:dyDescent="0.2">
      <c r="A59" s="67"/>
      <c r="B59" s="18"/>
      <c r="C59" s="9"/>
      <c r="D59" s="60"/>
      <c r="E59" s="61"/>
      <c r="F59" s="41"/>
      <c r="G59" s="60"/>
      <c r="J59" s="58"/>
      <c r="K59" s="32"/>
    </row>
    <row r="60" spans="1:32" s="59" customFormat="1" ht="24" customHeight="1" x14ac:dyDescent="0.2">
      <c r="A60" s="18"/>
      <c r="B60" s="56"/>
      <c r="C60" s="22"/>
      <c r="D60" s="60"/>
      <c r="E60" s="61"/>
      <c r="F60" s="41"/>
      <c r="G60" s="60"/>
      <c r="J60" s="58"/>
      <c r="K60" s="32"/>
    </row>
    <row r="61" spans="1:32" s="59" customFormat="1" ht="24" customHeight="1" x14ac:dyDescent="0.2">
      <c r="A61" s="18"/>
      <c r="B61" s="18"/>
      <c r="C61" s="9"/>
      <c r="D61" s="60"/>
      <c r="E61" s="61"/>
      <c r="F61" s="41"/>
      <c r="G61" s="60"/>
      <c r="H61" s="40"/>
      <c r="I61" s="40"/>
      <c r="J61" s="60"/>
      <c r="K61" s="34"/>
    </row>
    <row r="62" spans="1:32" ht="21" x14ac:dyDescent="0.2">
      <c r="A62" s="18"/>
      <c r="B62" s="56"/>
      <c r="C62" s="22"/>
      <c r="D62" s="60"/>
      <c r="E62" s="61"/>
      <c r="F62" s="41"/>
      <c r="G62" s="60"/>
      <c r="H62" s="40"/>
      <c r="I62" s="40"/>
      <c r="J62" s="60"/>
      <c r="K62" s="59"/>
      <c r="L62" s="59"/>
      <c r="M62" s="59"/>
      <c r="N62" s="59"/>
      <c r="O62" s="59"/>
      <c r="P62" s="59"/>
    </row>
    <row r="63" spans="1:32" ht="21" x14ac:dyDescent="0.2">
      <c r="A63" s="67"/>
      <c r="B63" s="18"/>
      <c r="C63" s="9"/>
      <c r="D63" s="60"/>
      <c r="E63" s="61"/>
      <c r="F63" s="41"/>
      <c r="G63" s="60"/>
      <c r="H63" s="40"/>
      <c r="I63" s="40"/>
      <c r="J63" s="60"/>
      <c r="K63" s="59"/>
      <c r="L63" s="59"/>
      <c r="M63" s="59"/>
      <c r="N63" s="59"/>
      <c r="O63" s="59"/>
      <c r="P63" s="59"/>
    </row>
  </sheetData>
  <mergeCells count="11">
    <mergeCell ref="D27:H27"/>
    <mergeCell ref="A28:B28"/>
    <mergeCell ref="D28:F28"/>
    <mergeCell ref="G28:H28"/>
    <mergeCell ref="A1:G3"/>
    <mergeCell ref="O4:P4"/>
    <mergeCell ref="A5:C6"/>
    <mergeCell ref="D9:H9"/>
    <mergeCell ref="A10:B10"/>
    <mergeCell ref="D10:F10"/>
    <mergeCell ref="G10:H10"/>
  </mergeCells>
  <phoneticPr fontId="2"/>
  <hyperlinks>
    <hyperlink ref="P3" r:id="rId1" xr:uid="{00000000-0004-0000-0000-000000000000}"/>
  </hyperlinks>
  <printOptions horizontalCentered="1" verticalCentered="1"/>
  <pageMargins left="0.23622047244094491" right="0.19685039370078741" top="0.19685039370078741" bottom="0.19685039370078741" header="0.31496062992125984" footer="0"/>
  <pageSetup paperSize="9" scale="55" orientation="landscape" r:id="rId2"/>
  <headerFooter alignWithMargins="0">
    <oddHeader>&amp;R(ME1)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F31"/>
  <sheetViews>
    <sheetView showGridLines="0" showOutlineSymbols="0" zoomScale="55" zoomScaleNormal="59" workbookViewId="0">
      <selection activeCell="E21" sqref="E21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10.12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43801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238</v>
      </c>
      <c r="B11" s="68"/>
      <c r="C11" s="69" t="s">
        <v>239</v>
      </c>
      <c r="D11" s="117" t="s">
        <v>240</v>
      </c>
      <c r="E11" s="98" t="s">
        <v>241</v>
      </c>
      <c r="F11" s="99"/>
      <c r="G11" s="53" t="s">
        <v>240</v>
      </c>
      <c r="H11" s="118" t="s">
        <v>174</v>
      </c>
      <c r="I11" s="124" t="s">
        <v>240</v>
      </c>
      <c r="J11" s="125" t="s">
        <v>175</v>
      </c>
      <c r="K11" s="126" t="s">
        <v>249</v>
      </c>
      <c r="L11" s="127" t="s">
        <v>184</v>
      </c>
      <c r="M11" s="128" t="s">
        <v>249</v>
      </c>
      <c r="N11" s="129" t="s">
        <v>175</v>
      </c>
      <c r="O11" s="72" t="s">
        <v>29</v>
      </c>
    </row>
    <row r="12" spans="1:16" ht="26.1" customHeight="1" x14ac:dyDescent="0.2">
      <c r="A12" s="89" t="s">
        <v>148</v>
      </c>
      <c r="B12" s="68"/>
      <c r="C12" s="69" t="s">
        <v>242</v>
      </c>
      <c r="D12" s="117" t="s">
        <v>240</v>
      </c>
      <c r="E12" s="98" t="s">
        <v>243</v>
      </c>
      <c r="F12" s="99"/>
      <c r="G12" s="53" t="s">
        <v>240</v>
      </c>
      <c r="H12" s="118" t="s">
        <v>175</v>
      </c>
      <c r="I12" s="124" t="s">
        <v>240</v>
      </c>
      <c r="J12" s="125" t="s">
        <v>176</v>
      </c>
      <c r="K12" s="126" t="s">
        <v>249</v>
      </c>
      <c r="L12" s="127" t="s">
        <v>132</v>
      </c>
      <c r="M12" s="128" t="s">
        <v>249</v>
      </c>
      <c r="N12" s="129" t="s">
        <v>171</v>
      </c>
      <c r="O12" s="72" t="s">
        <v>28</v>
      </c>
    </row>
    <row r="13" spans="1:16" ht="26.1" customHeight="1" x14ac:dyDescent="0.2">
      <c r="A13" s="89" t="s">
        <v>244</v>
      </c>
      <c r="B13" s="68"/>
      <c r="C13" s="69" t="s">
        <v>245</v>
      </c>
      <c r="D13" s="117" t="s">
        <v>240</v>
      </c>
      <c r="E13" s="98" t="s">
        <v>246</v>
      </c>
      <c r="F13" s="99"/>
      <c r="G13" s="53" t="s">
        <v>240</v>
      </c>
      <c r="H13" s="118" t="s">
        <v>176</v>
      </c>
      <c r="I13" s="124" t="s">
        <v>240</v>
      </c>
      <c r="J13" s="125" t="s">
        <v>177</v>
      </c>
      <c r="K13" s="126" t="s">
        <v>249</v>
      </c>
      <c r="L13" s="127" t="s">
        <v>133</v>
      </c>
      <c r="M13" s="128" t="s">
        <v>249</v>
      </c>
      <c r="N13" s="129" t="s">
        <v>172</v>
      </c>
      <c r="O13" s="72"/>
    </row>
    <row r="14" spans="1:16" ht="26.1" customHeight="1" x14ac:dyDescent="0.2">
      <c r="A14" s="89" t="s">
        <v>238</v>
      </c>
      <c r="B14" s="68"/>
      <c r="C14" s="69" t="s">
        <v>247</v>
      </c>
      <c r="D14" s="117" t="s">
        <v>240</v>
      </c>
      <c r="E14" s="98" t="s">
        <v>248</v>
      </c>
      <c r="F14" s="99"/>
      <c r="G14" s="53" t="s">
        <v>240</v>
      </c>
      <c r="H14" s="118" t="s">
        <v>177</v>
      </c>
      <c r="I14" s="124" t="s">
        <v>240</v>
      </c>
      <c r="J14" s="125" t="s">
        <v>185</v>
      </c>
      <c r="K14" s="126" t="s">
        <v>249</v>
      </c>
      <c r="L14" s="127" t="s">
        <v>177</v>
      </c>
      <c r="M14" s="128" t="s">
        <v>249</v>
      </c>
      <c r="N14" s="129" t="s">
        <v>181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A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31"/>
  <sheetViews>
    <sheetView showGridLines="0" showOutlineSymbols="0" topLeftCell="B1" zoomScale="55" zoomScaleNormal="59" workbookViewId="0">
      <selection activeCell="I5" sqref="I5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10.12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43761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211</v>
      </c>
      <c r="B11" s="68"/>
      <c r="C11" s="69" t="s">
        <v>212</v>
      </c>
      <c r="D11" s="117" t="s">
        <v>196</v>
      </c>
      <c r="E11" s="98" t="s">
        <v>218</v>
      </c>
      <c r="F11" s="99"/>
      <c r="G11" s="53">
        <v>43767</v>
      </c>
      <c r="H11" s="118"/>
      <c r="I11" s="124" t="s">
        <v>213</v>
      </c>
      <c r="J11" s="125"/>
      <c r="K11" s="126" t="s">
        <v>214</v>
      </c>
      <c r="L11" s="127"/>
      <c r="M11" s="128" t="s">
        <v>215</v>
      </c>
      <c r="N11" s="129"/>
      <c r="O11" s="72" t="s">
        <v>29</v>
      </c>
    </row>
    <row r="12" spans="1:16" ht="26.1" customHeight="1" x14ac:dyDescent="0.2">
      <c r="A12" s="89" t="s">
        <v>216</v>
      </c>
      <c r="B12" s="68"/>
      <c r="C12" s="69" t="s">
        <v>217</v>
      </c>
      <c r="D12" s="117" t="s">
        <v>210</v>
      </c>
      <c r="E12" s="98" t="s">
        <v>219</v>
      </c>
      <c r="F12" s="99"/>
      <c r="G12" s="53">
        <v>43774</v>
      </c>
      <c r="H12" s="118"/>
      <c r="I12" s="124" t="s">
        <v>220</v>
      </c>
      <c r="J12" s="125"/>
      <c r="K12" s="126" t="s">
        <v>221</v>
      </c>
      <c r="L12" s="127"/>
      <c r="M12" s="128" t="s">
        <v>222</v>
      </c>
      <c r="N12" s="129"/>
      <c r="O12" s="72" t="s">
        <v>28</v>
      </c>
    </row>
    <row r="13" spans="1:16" ht="26.1" customHeight="1" x14ac:dyDescent="0.2">
      <c r="A13" s="89" t="s">
        <v>147</v>
      </c>
      <c r="B13" s="68"/>
      <c r="C13" s="69" t="s">
        <v>223</v>
      </c>
      <c r="D13" s="117" t="s">
        <v>210</v>
      </c>
      <c r="E13" s="98" t="s">
        <v>224</v>
      </c>
      <c r="F13" s="99"/>
      <c r="G13" s="53">
        <v>43781</v>
      </c>
      <c r="H13" s="118"/>
      <c r="I13" s="124" t="s">
        <v>225</v>
      </c>
      <c r="J13" s="125"/>
      <c r="K13" s="126" t="s">
        <v>226</v>
      </c>
      <c r="L13" s="127"/>
      <c r="M13" s="128" t="s">
        <v>227</v>
      </c>
      <c r="N13" s="129"/>
      <c r="O13" s="72"/>
    </row>
    <row r="14" spans="1:16" ht="26.1" customHeight="1" x14ac:dyDescent="0.2">
      <c r="A14" s="89" t="s">
        <v>211</v>
      </c>
      <c r="B14" s="68"/>
      <c r="C14" s="69" t="s">
        <v>228</v>
      </c>
      <c r="D14" s="117" t="s">
        <v>210</v>
      </c>
      <c r="E14" s="98" t="s">
        <v>229</v>
      </c>
      <c r="F14" s="99"/>
      <c r="G14" s="53">
        <v>43788</v>
      </c>
      <c r="H14" s="118"/>
      <c r="I14" s="124" t="s">
        <v>230</v>
      </c>
      <c r="J14" s="125"/>
      <c r="K14" s="126" t="s">
        <v>231</v>
      </c>
      <c r="L14" s="127"/>
      <c r="M14" s="128" t="s">
        <v>232</v>
      </c>
      <c r="N14" s="129"/>
      <c r="O14" s="72"/>
    </row>
    <row r="15" spans="1:16" ht="26.1" customHeight="1" x14ac:dyDescent="0.2">
      <c r="A15" s="89" t="s">
        <v>216</v>
      </c>
      <c r="B15" s="68"/>
      <c r="C15" s="69" t="s">
        <v>233</v>
      </c>
      <c r="D15" s="117" t="s">
        <v>210</v>
      </c>
      <c r="E15" s="98" t="s">
        <v>234</v>
      </c>
      <c r="F15" s="99"/>
      <c r="G15" s="53">
        <v>43795</v>
      </c>
      <c r="H15" s="118"/>
      <c r="I15" s="124" t="s">
        <v>235</v>
      </c>
      <c r="J15" s="125"/>
      <c r="K15" s="126" t="s">
        <v>236</v>
      </c>
      <c r="L15" s="127"/>
      <c r="M15" s="128" t="s">
        <v>237</v>
      </c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9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F31"/>
  <sheetViews>
    <sheetView showGridLines="0" showOutlineSymbols="0" zoomScale="55" zoomScaleNormal="59" workbookViewId="0">
      <selection activeCell="O6" sqref="O6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10.12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43839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244</v>
      </c>
      <c r="B11" s="68"/>
      <c r="C11" s="69" t="s">
        <v>158</v>
      </c>
      <c r="D11" s="117" t="s">
        <v>249</v>
      </c>
      <c r="E11" s="98" t="s">
        <v>250</v>
      </c>
      <c r="F11" s="99"/>
      <c r="G11" s="53" t="s">
        <v>249</v>
      </c>
      <c r="H11" s="118" t="s">
        <v>197</v>
      </c>
      <c r="I11" s="124" t="s">
        <v>249</v>
      </c>
      <c r="J11" s="125" t="s">
        <v>198</v>
      </c>
      <c r="K11" s="126" t="s">
        <v>251</v>
      </c>
      <c r="L11" s="127" t="s">
        <v>178</v>
      </c>
      <c r="M11" s="128" t="s">
        <v>251</v>
      </c>
      <c r="N11" s="129" t="s">
        <v>138</v>
      </c>
      <c r="O11" s="72" t="s">
        <v>29</v>
      </c>
    </row>
    <row r="12" spans="1:16" ht="26.1" customHeight="1" x14ac:dyDescent="0.2">
      <c r="A12" s="89" t="s">
        <v>201</v>
      </c>
      <c r="B12" s="68"/>
      <c r="C12" s="69" t="s">
        <v>252</v>
      </c>
      <c r="D12" s="117" t="s">
        <v>249</v>
      </c>
      <c r="E12" s="98" t="s">
        <v>253</v>
      </c>
      <c r="F12" s="99"/>
      <c r="G12" s="53" t="s">
        <v>249</v>
      </c>
      <c r="H12" s="118" t="s">
        <v>198</v>
      </c>
      <c r="I12" s="124" t="s">
        <v>249</v>
      </c>
      <c r="J12" s="125" t="s">
        <v>199</v>
      </c>
      <c r="K12" s="126" t="s">
        <v>251</v>
      </c>
      <c r="L12" s="127" t="s">
        <v>179</v>
      </c>
      <c r="M12" s="128" t="s">
        <v>251</v>
      </c>
      <c r="N12" s="129" t="s">
        <v>139</v>
      </c>
      <c r="O12" s="72" t="s">
        <v>28</v>
      </c>
    </row>
    <row r="13" spans="1:16" ht="26.1" customHeight="1" x14ac:dyDescent="0.2">
      <c r="A13" s="89" t="s">
        <v>148</v>
      </c>
      <c r="B13" s="68"/>
      <c r="C13" s="69" t="s">
        <v>254</v>
      </c>
      <c r="D13" s="117" t="s">
        <v>249</v>
      </c>
      <c r="E13" s="98" t="s">
        <v>255</v>
      </c>
      <c r="F13" s="99"/>
      <c r="G13" s="53" t="s">
        <v>249</v>
      </c>
      <c r="H13" s="118" t="s">
        <v>199</v>
      </c>
      <c r="I13" s="124" t="s">
        <v>249</v>
      </c>
      <c r="J13" s="125" t="s">
        <v>200</v>
      </c>
      <c r="K13" s="126" t="s">
        <v>251</v>
      </c>
      <c r="L13" s="127" t="s">
        <v>180</v>
      </c>
      <c r="M13" s="128" t="s">
        <v>251</v>
      </c>
      <c r="N13" s="129" t="s">
        <v>140</v>
      </c>
      <c r="O13" s="72"/>
    </row>
    <row r="14" spans="1:16" ht="26.1" customHeight="1" x14ac:dyDescent="0.2">
      <c r="A14" s="89" t="s">
        <v>244</v>
      </c>
      <c r="B14" s="68"/>
      <c r="C14" s="69" t="s">
        <v>163</v>
      </c>
      <c r="D14" s="117" t="s">
        <v>249</v>
      </c>
      <c r="E14" s="98" t="s">
        <v>256</v>
      </c>
      <c r="F14" s="99"/>
      <c r="G14" s="53" t="s">
        <v>249</v>
      </c>
      <c r="H14" s="118" t="s">
        <v>200</v>
      </c>
      <c r="I14" s="124" t="s">
        <v>251</v>
      </c>
      <c r="J14" s="125" t="s">
        <v>131</v>
      </c>
      <c r="K14" s="126" t="s">
        <v>251</v>
      </c>
      <c r="L14" s="127" t="s">
        <v>181</v>
      </c>
      <c r="M14" s="128" t="s">
        <v>257</v>
      </c>
      <c r="N14" s="129" t="s">
        <v>136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B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F31"/>
  <sheetViews>
    <sheetView showGridLines="0" showOutlineSymbols="0" zoomScale="55" zoomScaleNormal="59" workbookViewId="0">
      <selection activeCell="O5" sqref="O5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10.12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43861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201</v>
      </c>
      <c r="B11" s="68"/>
      <c r="C11" s="69" t="s">
        <v>258</v>
      </c>
      <c r="D11" s="117" t="s">
        <v>251</v>
      </c>
      <c r="E11" s="98" t="s">
        <v>128</v>
      </c>
      <c r="F11" s="99"/>
      <c r="G11" s="53" t="s">
        <v>251</v>
      </c>
      <c r="H11" s="118" t="s">
        <v>131</v>
      </c>
      <c r="I11" s="124" t="s">
        <v>251</v>
      </c>
      <c r="J11" s="125" t="s">
        <v>132</v>
      </c>
      <c r="K11" s="126" t="s">
        <v>257</v>
      </c>
      <c r="L11" s="127" t="s">
        <v>197</v>
      </c>
      <c r="M11" s="128" t="s">
        <v>257</v>
      </c>
      <c r="N11" s="129" t="s">
        <v>193</v>
      </c>
      <c r="O11" s="72" t="s">
        <v>29</v>
      </c>
    </row>
    <row r="12" spans="1:16" ht="26.1" customHeight="1" x14ac:dyDescent="0.2">
      <c r="A12" s="89" t="s">
        <v>148</v>
      </c>
      <c r="B12" s="68"/>
      <c r="C12" s="69" t="s">
        <v>259</v>
      </c>
      <c r="D12" s="117" t="s">
        <v>251</v>
      </c>
      <c r="E12" s="98" t="s">
        <v>129</v>
      </c>
      <c r="F12" s="99"/>
      <c r="G12" s="53" t="s">
        <v>251</v>
      </c>
      <c r="H12" s="118" t="s">
        <v>175</v>
      </c>
      <c r="I12" s="124" t="s">
        <v>251</v>
      </c>
      <c r="J12" s="125" t="s">
        <v>133</v>
      </c>
      <c r="K12" s="126" t="s">
        <v>257</v>
      </c>
      <c r="L12" s="127" t="s">
        <v>198</v>
      </c>
      <c r="M12" s="128" t="s">
        <v>257</v>
      </c>
      <c r="N12" s="129" t="s">
        <v>194</v>
      </c>
      <c r="O12" s="72" t="s">
        <v>28</v>
      </c>
    </row>
    <row r="13" spans="1:16" ht="26.1" customHeight="1" x14ac:dyDescent="0.2">
      <c r="A13" s="89" t="s">
        <v>244</v>
      </c>
      <c r="B13" s="68"/>
      <c r="C13" s="69" t="s">
        <v>182</v>
      </c>
      <c r="D13" s="117" t="s">
        <v>251</v>
      </c>
      <c r="E13" s="98" t="s">
        <v>130</v>
      </c>
      <c r="F13" s="99"/>
      <c r="G13" s="53" t="s">
        <v>251</v>
      </c>
      <c r="H13" s="118" t="s">
        <v>133</v>
      </c>
      <c r="I13" s="124" t="s">
        <v>251</v>
      </c>
      <c r="J13" s="125" t="s">
        <v>134</v>
      </c>
      <c r="K13" s="126" t="s">
        <v>257</v>
      </c>
      <c r="L13" s="127" t="s">
        <v>199</v>
      </c>
      <c r="M13" s="128" t="s">
        <v>257</v>
      </c>
      <c r="N13" s="129" t="s">
        <v>195</v>
      </c>
      <c r="O13" s="72"/>
    </row>
    <row r="14" spans="1:16" ht="26.1" customHeight="1" x14ac:dyDescent="0.2">
      <c r="A14" s="89" t="s">
        <v>201</v>
      </c>
      <c r="B14" s="68"/>
      <c r="C14" s="69" t="s">
        <v>260</v>
      </c>
      <c r="D14" s="117" t="s">
        <v>251</v>
      </c>
      <c r="E14" s="98" t="s">
        <v>152</v>
      </c>
      <c r="F14" s="99"/>
      <c r="G14" s="53" t="s">
        <v>251</v>
      </c>
      <c r="H14" s="118" t="s">
        <v>134</v>
      </c>
      <c r="I14" s="124" t="s">
        <v>257</v>
      </c>
      <c r="J14" s="125" t="s">
        <v>174</v>
      </c>
      <c r="K14" s="126" t="s">
        <v>257</v>
      </c>
      <c r="L14" s="127" t="s">
        <v>200</v>
      </c>
      <c r="M14" s="128" t="s">
        <v>261</v>
      </c>
      <c r="N14" s="129" t="s">
        <v>151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:G3"/>
    <mergeCell ref="O4:P4"/>
    <mergeCell ref="A5:C6"/>
    <mergeCell ref="D9:H9"/>
    <mergeCell ref="I9:J9"/>
    <mergeCell ref="K9:L9"/>
    <mergeCell ref="M9:N9"/>
    <mergeCell ref="A10:B10"/>
    <mergeCell ref="D10:F10"/>
    <mergeCell ref="G10:H10"/>
    <mergeCell ref="I10:J10"/>
    <mergeCell ref="K10:L10"/>
  </mergeCells>
  <phoneticPr fontId="2"/>
  <hyperlinks>
    <hyperlink ref="P3" r:id="rId1" xr:uid="{00000000-0004-0000-0C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F31"/>
  <sheetViews>
    <sheetView showGridLines="0" showOutlineSymbols="0" zoomScale="55" zoomScaleNormal="59" workbookViewId="0">
      <selection activeCell="O6" sqref="O6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10.12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43889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148</v>
      </c>
      <c r="B11" s="68"/>
      <c r="C11" s="69" t="s">
        <v>262</v>
      </c>
      <c r="D11" s="117" t="s">
        <v>257</v>
      </c>
      <c r="E11" s="98" t="s">
        <v>241</v>
      </c>
      <c r="F11" s="99"/>
      <c r="G11" s="53" t="s">
        <v>257</v>
      </c>
      <c r="H11" s="118" t="s">
        <v>174</v>
      </c>
      <c r="I11" s="124" t="s">
        <v>257</v>
      </c>
      <c r="J11" s="125" t="s">
        <v>175</v>
      </c>
      <c r="K11" s="126" t="s">
        <v>261</v>
      </c>
      <c r="L11" s="127" t="s">
        <v>131</v>
      </c>
      <c r="M11" s="128" t="s">
        <v>261</v>
      </c>
      <c r="N11" s="129" t="s">
        <v>170</v>
      </c>
      <c r="O11" s="72" t="s">
        <v>29</v>
      </c>
    </row>
    <row r="12" spans="1:16" ht="26.1" customHeight="1" x14ac:dyDescent="0.2">
      <c r="A12" s="89" t="s">
        <v>244</v>
      </c>
      <c r="B12" s="68"/>
      <c r="C12" s="69" t="s">
        <v>188</v>
      </c>
      <c r="D12" s="117" t="s">
        <v>257</v>
      </c>
      <c r="E12" s="98" t="s">
        <v>243</v>
      </c>
      <c r="F12" s="99"/>
      <c r="G12" s="53" t="s">
        <v>257</v>
      </c>
      <c r="H12" s="118" t="s">
        <v>175</v>
      </c>
      <c r="I12" s="124" t="s">
        <v>257</v>
      </c>
      <c r="J12" s="125" t="s">
        <v>176</v>
      </c>
      <c r="K12" s="126" t="s">
        <v>261</v>
      </c>
      <c r="L12" s="127" t="s">
        <v>132</v>
      </c>
      <c r="M12" s="128" t="s">
        <v>261</v>
      </c>
      <c r="N12" s="129" t="s">
        <v>171</v>
      </c>
      <c r="O12" s="72" t="s">
        <v>28</v>
      </c>
    </row>
    <row r="13" spans="1:16" ht="26.1" customHeight="1" x14ac:dyDescent="0.2">
      <c r="A13" s="89" t="s">
        <v>201</v>
      </c>
      <c r="B13" s="68"/>
      <c r="C13" s="69" t="s">
        <v>263</v>
      </c>
      <c r="D13" s="117" t="s">
        <v>257</v>
      </c>
      <c r="E13" s="98" t="s">
        <v>246</v>
      </c>
      <c r="F13" s="99"/>
      <c r="G13" s="53" t="s">
        <v>257</v>
      </c>
      <c r="H13" s="118" t="s">
        <v>176</v>
      </c>
      <c r="I13" s="124" t="s">
        <v>257</v>
      </c>
      <c r="J13" s="125" t="s">
        <v>177</v>
      </c>
      <c r="K13" s="126" t="s">
        <v>261</v>
      </c>
      <c r="L13" s="127" t="s">
        <v>133</v>
      </c>
      <c r="M13" s="128" t="s">
        <v>261</v>
      </c>
      <c r="N13" s="129" t="s">
        <v>172</v>
      </c>
      <c r="O13" s="72"/>
    </row>
    <row r="14" spans="1:16" ht="26.1" customHeight="1" x14ac:dyDescent="0.2">
      <c r="A14" s="89" t="s">
        <v>148</v>
      </c>
      <c r="B14" s="68"/>
      <c r="C14" s="69" t="s">
        <v>264</v>
      </c>
      <c r="D14" s="117" t="s">
        <v>257</v>
      </c>
      <c r="E14" s="98" t="s">
        <v>248</v>
      </c>
      <c r="F14" s="99"/>
      <c r="G14" s="53" t="s">
        <v>257</v>
      </c>
      <c r="H14" s="118" t="s">
        <v>177</v>
      </c>
      <c r="I14" s="124" t="s">
        <v>257</v>
      </c>
      <c r="J14" s="125" t="s">
        <v>185</v>
      </c>
      <c r="K14" s="126" t="s">
        <v>261</v>
      </c>
      <c r="L14" s="127" t="s">
        <v>134</v>
      </c>
      <c r="M14" s="128" t="s">
        <v>261</v>
      </c>
      <c r="N14" s="129" t="s">
        <v>173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D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F31"/>
  <sheetViews>
    <sheetView showGridLines="0" showOutlineSymbols="0" zoomScale="55" zoomScaleNormal="59" workbookViewId="0">
      <selection activeCell="F17" sqref="F17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10.12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43922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244</v>
      </c>
      <c r="B11" s="68"/>
      <c r="C11" s="69" t="s">
        <v>203</v>
      </c>
      <c r="D11" s="117" t="s">
        <v>261</v>
      </c>
      <c r="E11" s="98" t="s">
        <v>265</v>
      </c>
      <c r="F11" s="99"/>
      <c r="G11" s="53" t="s">
        <v>257</v>
      </c>
      <c r="H11" s="118" t="s">
        <v>185</v>
      </c>
      <c r="I11" s="124" t="s">
        <v>261</v>
      </c>
      <c r="J11" s="125" t="s">
        <v>197</v>
      </c>
      <c r="K11" s="126" t="s">
        <v>270</v>
      </c>
      <c r="L11" s="127" t="s">
        <v>151</v>
      </c>
      <c r="M11" s="128" t="s">
        <v>270</v>
      </c>
      <c r="N11" s="129" t="s">
        <v>197</v>
      </c>
      <c r="O11" s="72" t="s">
        <v>29</v>
      </c>
    </row>
    <row r="12" spans="1:16" ht="26.1" customHeight="1" x14ac:dyDescent="0.2">
      <c r="A12" s="89" t="s">
        <v>201</v>
      </c>
      <c r="B12" s="68"/>
      <c r="C12" s="69" t="s">
        <v>266</v>
      </c>
      <c r="D12" s="117" t="s">
        <v>261</v>
      </c>
      <c r="E12" s="98" t="s">
        <v>250</v>
      </c>
      <c r="F12" s="99"/>
      <c r="G12" s="53" t="s">
        <v>261</v>
      </c>
      <c r="H12" s="118" t="s">
        <v>131</v>
      </c>
      <c r="I12" s="124" t="s">
        <v>261</v>
      </c>
      <c r="J12" s="125" t="s">
        <v>198</v>
      </c>
      <c r="K12" s="126" t="s">
        <v>270</v>
      </c>
      <c r="L12" s="127" t="s">
        <v>170</v>
      </c>
      <c r="M12" s="128" t="s">
        <v>270</v>
      </c>
      <c r="N12" s="129" t="s">
        <v>198</v>
      </c>
      <c r="O12" s="72" t="s">
        <v>28</v>
      </c>
    </row>
    <row r="13" spans="1:16" ht="26.1" customHeight="1" x14ac:dyDescent="0.2">
      <c r="A13" s="89" t="s">
        <v>148</v>
      </c>
      <c r="B13" s="68"/>
      <c r="C13" s="69" t="s">
        <v>267</v>
      </c>
      <c r="D13" s="117" t="s">
        <v>261</v>
      </c>
      <c r="E13" s="98" t="s">
        <v>253</v>
      </c>
      <c r="F13" s="99"/>
      <c r="G13" s="53" t="s">
        <v>261</v>
      </c>
      <c r="H13" s="118" t="s">
        <v>198</v>
      </c>
      <c r="I13" s="124" t="s">
        <v>261</v>
      </c>
      <c r="J13" s="125" t="s">
        <v>199</v>
      </c>
      <c r="K13" s="126" t="s">
        <v>270</v>
      </c>
      <c r="L13" s="127" t="s">
        <v>171</v>
      </c>
      <c r="M13" s="128" t="s">
        <v>270</v>
      </c>
      <c r="N13" s="129" t="s">
        <v>199</v>
      </c>
      <c r="O13" s="72"/>
    </row>
    <row r="14" spans="1:16" ht="26.1" customHeight="1" x14ac:dyDescent="0.2">
      <c r="A14" s="89" t="s">
        <v>244</v>
      </c>
      <c r="B14" s="68"/>
      <c r="C14" s="69" t="s">
        <v>206</v>
      </c>
      <c r="D14" s="117" t="s">
        <v>261</v>
      </c>
      <c r="E14" s="98" t="s">
        <v>255</v>
      </c>
      <c r="F14" s="99"/>
      <c r="G14" s="53" t="s">
        <v>261</v>
      </c>
      <c r="H14" s="118" t="s">
        <v>199</v>
      </c>
      <c r="I14" s="124" t="s">
        <v>261</v>
      </c>
      <c r="J14" s="125" t="s">
        <v>200</v>
      </c>
      <c r="K14" s="126" t="s">
        <v>270</v>
      </c>
      <c r="L14" s="127" t="s">
        <v>172</v>
      </c>
      <c r="M14" s="128" t="s">
        <v>270</v>
      </c>
      <c r="N14" s="129" t="s">
        <v>200</v>
      </c>
      <c r="O14" s="72"/>
    </row>
    <row r="15" spans="1:16" ht="26.1" customHeight="1" x14ac:dyDescent="0.2">
      <c r="A15" s="89" t="s">
        <v>201</v>
      </c>
      <c r="B15" s="68"/>
      <c r="C15" s="69" t="s">
        <v>268</v>
      </c>
      <c r="D15" s="117" t="s">
        <v>261</v>
      </c>
      <c r="E15" s="98" t="s">
        <v>269</v>
      </c>
      <c r="F15" s="99"/>
      <c r="G15" s="53" t="s">
        <v>261</v>
      </c>
      <c r="H15" s="118" t="s">
        <v>140</v>
      </c>
      <c r="I15" s="124" t="s">
        <v>270</v>
      </c>
      <c r="J15" s="125" t="s">
        <v>184</v>
      </c>
      <c r="K15" s="126" t="s">
        <v>270</v>
      </c>
      <c r="L15" s="127" t="s">
        <v>173</v>
      </c>
      <c r="M15" s="128" t="s">
        <v>127</v>
      </c>
      <c r="N15" s="129" t="s">
        <v>131</v>
      </c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E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G37"/>
  <sheetViews>
    <sheetView showGridLines="0" showOutlineSymbols="0" topLeftCell="C9" zoomScale="55" zoomScaleNormal="59" workbookViewId="0">
      <selection activeCell="G14" sqref="G14"/>
    </sheetView>
  </sheetViews>
  <sheetFormatPr defaultRowHeight="13.5" x14ac:dyDescent="0.15"/>
  <cols>
    <col min="1" max="1" width="18.625" customWidth="1"/>
    <col min="2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278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P4" s="258">
        <v>43681</v>
      </c>
      <c r="Q4" s="259"/>
    </row>
    <row r="5" spans="1:17" ht="24" customHeight="1" x14ac:dyDescent="0.2">
      <c r="A5" s="260" t="s">
        <v>27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79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271</v>
      </c>
      <c r="B11" s="68"/>
      <c r="C11" s="69" t="s">
        <v>272</v>
      </c>
      <c r="D11" s="70">
        <v>44047</v>
      </c>
      <c r="E11" s="98" t="s">
        <v>49</v>
      </c>
      <c r="F11" s="99"/>
      <c r="G11" s="53">
        <v>44043</v>
      </c>
      <c r="H11" s="74"/>
      <c r="I11" s="104">
        <v>44048</v>
      </c>
      <c r="J11" s="98" t="s">
        <v>49</v>
      </c>
      <c r="K11" s="112">
        <v>44046</v>
      </c>
      <c r="L11" s="74"/>
      <c r="M11" s="145">
        <v>44058</v>
      </c>
      <c r="N11" s="146">
        <v>44080</v>
      </c>
      <c r="O11" s="147">
        <v>44087</v>
      </c>
      <c r="P11" s="72" t="s">
        <v>29</v>
      </c>
    </row>
    <row r="12" spans="1:17" ht="26.1" customHeight="1" x14ac:dyDescent="0.2">
      <c r="A12" s="89" t="s">
        <v>271</v>
      </c>
      <c r="B12" s="68"/>
      <c r="C12" s="69" t="s">
        <v>273</v>
      </c>
      <c r="D12" s="148" t="s">
        <v>276</v>
      </c>
      <c r="E12" s="98"/>
      <c r="F12" s="99"/>
      <c r="G12" s="53"/>
      <c r="H12" s="74"/>
      <c r="I12" s="104">
        <v>44055</v>
      </c>
      <c r="J12" s="98" t="s">
        <v>60</v>
      </c>
      <c r="K12" s="112">
        <v>44050</v>
      </c>
      <c r="L12" s="74"/>
      <c r="M12" s="145">
        <v>44065</v>
      </c>
      <c r="N12" s="146">
        <v>44087</v>
      </c>
      <c r="O12" s="147">
        <v>44094</v>
      </c>
      <c r="P12" s="72" t="s">
        <v>28</v>
      </c>
    </row>
    <row r="13" spans="1:17" ht="26.1" customHeight="1" x14ac:dyDescent="0.2">
      <c r="A13" s="89" t="s">
        <v>271</v>
      </c>
      <c r="B13" s="68"/>
      <c r="C13" s="69" t="s">
        <v>274</v>
      </c>
      <c r="D13" s="70">
        <v>44061</v>
      </c>
      <c r="E13" s="98" t="s">
        <v>63</v>
      </c>
      <c r="F13" s="99"/>
      <c r="G13" s="53">
        <v>44057</v>
      </c>
      <c r="H13" s="74"/>
      <c r="I13" s="104">
        <v>44062</v>
      </c>
      <c r="J13" s="98" t="s">
        <v>63</v>
      </c>
      <c r="K13" s="112">
        <v>44060</v>
      </c>
      <c r="L13" s="74"/>
      <c r="M13" s="145">
        <v>44072</v>
      </c>
      <c r="N13" s="146">
        <v>44094</v>
      </c>
      <c r="O13" s="147">
        <v>44101</v>
      </c>
      <c r="P13" s="72"/>
    </row>
    <row r="14" spans="1:17" ht="26.1" customHeight="1" x14ac:dyDescent="0.2">
      <c r="A14" s="89" t="s">
        <v>271</v>
      </c>
      <c r="B14" s="68"/>
      <c r="C14" s="69" t="s">
        <v>275</v>
      </c>
      <c r="D14" s="70">
        <v>44068</v>
      </c>
      <c r="E14" s="98" t="s">
        <v>69</v>
      </c>
      <c r="F14" s="99"/>
      <c r="G14" s="53">
        <v>44064</v>
      </c>
      <c r="H14" s="74"/>
      <c r="I14" s="70">
        <v>44069</v>
      </c>
      <c r="J14" s="98" t="s">
        <v>69</v>
      </c>
      <c r="K14" s="113">
        <v>44067</v>
      </c>
      <c r="L14" s="102"/>
      <c r="M14" s="145">
        <v>44079</v>
      </c>
      <c r="N14" s="146">
        <v>44101</v>
      </c>
      <c r="O14" s="147">
        <v>44108</v>
      </c>
      <c r="P14" s="72"/>
    </row>
    <row r="15" spans="1:17" ht="26.1" customHeight="1" x14ac:dyDescent="0.2">
      <c r="A15" s="89"/>
      <c r="B15" s="68"/>
      <c r="C15" s="69"/>
      <c r="D15" s="70"/>
      <c r="E15" s="98"/>
      <c r="F15" s="99"/>
      <c r="G15" s="53"/>
      <c r="H15" s="74"/>
      <c r="I15" s="70"/>
      <c r="J15" s="98"/>
      <c r="K15" s="112"/>
      <c r="L15" s="74"/>
      <c r="M15" s="85"/>
      <c r="N15" s="146"/>
      <c r="O15" s="147"/>
      <c r="P15" s="72"/>
    </row>
    <row r="16" spans="1:17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70"/>
      <c r="J16" s="98"/>
      <c r="K16" s="112"/>
      <c r="L16" s="74"/>
      <c r="M16" s="85"/>
      <c r="N16" s="146"/>
      <c r="O16" s="147"/>
      <c r="P16" s="72"/>
    </row>
    <row r="17" spans="1:33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70"/>
      <c r="J17" s="98"/>
      <c r="K17" s="112"/>
      <c r="L17" s="74"/>
      <c r="M17" s="85"/>
      <c r="N17" s="146"/>
      <c r="O17" s="147"/>
      <c r="P17" s="72"/>
    </row>
    <row r="18" spans="1:33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70"/>
      <c r="J18" s="98"/>
      <c r="K18" s="112"/>
      <c r="L18" s="74"/>
      <c r="M18" s="85"/>
      <c r="N18" s="146"/>
      <c r="O18" s="147"/>
      <c r="P18" s="72" t="s">
        <v>28</v>
      </c>
    </row>
    <row r="19" spans="1:33" ht="26.1" customHeight="1" x14ac:dyDescent="0.2">
      <c r="A19" s="89"/>
      <c r="B19" s="68"/>
      <c r="C19" s="69"/>
      <c r="D19" s="70"/>
      <c r="E19" s="98"/>
      <c r="F19" s="99"/>
      <c r="G19" s="53"/>
      <c r="H19" s="74"/>
      <c r="I19" s="70"/>
      <c r="J19" s="98"/>
      <c r="K19" s="112"/>
      <c r="L19" s="74"/>
      <c r="M19" s="85"/>
      <c r="N19" s="105"/>
      <c r="O19" s="86"/>
      <c r="P19" s="72" t="s">
        <v>28</v>
      </c>
    </row>
    <row r="20" spans="1:33" ht="26.1" customHeight="1" x14ac:dyDescent="0.2">
      <c r="A20" s="89"/>
      <c r="B20" s="68"/>
      <c r="C20" s="69"/>
      <c r="D20" s="70"/>
      <c r="E20" s="98"/>
      <c r="F20" s="99"/>
      <c r="G20" s="53"/>
      <c r="H20" s="74"/>
      <c r="I20" s="104"/>
      <c r="J20" s="98"/>
      <c r="K20" s="112"/>
      <c r="L20" s="74"/>
      <c r="M20" s="85"/>
      <c r="N20" s="105"/>
      <c r="O20" s="86"/>
      <c r="P20" s="72"/>
    </row>
    <row r="21" spans="1:33" ht="25.5" customHeight="1" x14ac:dyDescent="0.2">
      <c r="A21" s="89"/>
      <c r="B21" s="68"/>
      <c r="C21" s="69"/>
      <c r="D21" s="70"/>
      <c r="E21" s="98"/>
      <c r="F21" s="99"/>
      <c r="G21" s="53"/>
      <c r="H21" s="74"/>
      <c r="I21" s="104"/>
      <c r="J21" s="98"/>
      <c r="K21" s="112"/>
      <c r="L21" s="74"/>
      <c r="M21" s="85"/>
      <c r="N21" s="105"/>
      <c r="O21" s="86"/>
      <c r="P21" s="72"/>
    </row>
    <row r="22" spans="1:33" ht="21" customHeight="1" x14ac:dyDescent="0.2">
      <c r="A22" s="67"/>
      <c r="B22" s="18"/>
      <c r="C22" s="9"/>
      <c r="D22" s="54"/>
      <c r="E22" s="55"/>
      <c r="F22" s="78"/>
      <c r="G22" s="54"/>
      <c r="H22" s="75"/>
      <c r="I22" s="75"/>
      <c r="J22" s="75"/>
      <c r="K22" s="75"/>
      <c r="L22" s="75"/>
      <c r="M22" s="75"/>
      <c r="N22" s="54"/>
      <c r="O22" s="54"/>
      <c r="P22" s="72"/>
    </row>
    <row r="23" spans="1:33" ht="26.25" customHeight="1" x14ac:dyDescent="0.2">
      <c r="A23" s="15" t="s">
        <v>50</v>
      </c>
      <c r="B23" s="15"/>
      <c r="J23" s="90"/>
      <c r="K23" s="90"/>
      <c r="L23" s="54"/>
      <c r="M23" s="54"/>
      <c r="N23" s="54"/>
      <c r="O23" s="54"/>
      <c r="P23" s="72"/>
    </row>
    <row r="24" spans="1:33" ht="26.25" customHeight="1" x14ac:dyDescent="0.2">
      <c r="A24" s="15"/>
      <c r="B24" s="92" t="s">
        <v>77</v>
      </c>
      <c r="C24" s="91" t="s">
        <v>78</v>
      </c>
      <c r="G24" s="92"/>
      <c r="H24" s="1"/>
      <c r="I24" s="114" t="s">
        <v>82</v>
      </c>
      <c r="K24" s="115" t="s">
        <v>87</v>
      </c>
      <c r="L24" s="108"/>
      <c r="M24" s="108"/>
      <c r="N24" s="54"/>
      <c r="O24" s="108"/>
      <c r="P24" s="108"/>
    </row>
    <row r="25" spans="1:33" s="2" customFormat="1" ht="26.25" customHeight="1" x14ac:dyDescent="0.2">
      <c r="A25" s="93"/>
      <c r="B25" s="93"/>
      <c r="C25" s="91" t="s">
        <v>79</v>
      </c>
      <c r="D25"/>
      <c r="E25"/>
      <c r="F25"/>
      <c r="G25" s="92"/>
      <c r="H25"/>
      <c r="I25" s="10"/>
      <c r="J25" s="108"/>
      <c r="K25" s="10" t="s">
        <v>89</v>
      </c>
      <c r="L25" s="108"/>
      <c r="M25" s="108"/>
      <c r="N25" s="10"/>
      <c r="O25" s="108"/>
      <c r="P25" s="108"/>
      <c r="Q25"/>
    </row>
    <row r="26" spans="1:33" s="33" customFormat="1" ht="26.25" customHeight="1" x14ac:dyDescent="0.2">
      <c r="A26" s="94"/>
      <c r="B26" s="94"/>
      <c r="C26" s="15" t="s">
        <v>80</v>
      </c>
      <c r="D26"/>
      <c r="E26"/>
      <c r="F26"/>
      <c r="G26" s="92"/>
      <c r="H26" s="4"/>
      <c r="I26" s="10"/>
      <c r="J26" s="15"/>
      <c r="K26" s="116" t="s">
        <v>90</v>
      </c>
      <c r="L26" s="15"/>
      <c r="M26" s="15"/>
      <c r="N26" s="109"/>
      <c r="O26" s="15"/>
      <c r="P26" s="15"/>
      <c r="Q26"/>
      <c r="R26"/>
      <c r="S26"/>
      <c r="T26"/>
      <c r="U26"/>
      <c r="V26"/>
      <c r="W26" s="15"/>
      <c r="X26" s="15"/>
      <c r="Y26" s="15"/>
      <c r="Z26"/>
      <c r="AA26"/>
      <c r="AB26"/>
      <c r="AC26"/>
      <c r="AD26"/>
      <c r="AE26"/>
      <c r="AF26" s="90"/>
      <c r="AG26" s="90"/>
    </row>
    <row r="27" spans="1:33" s="33" customFormat="1" ht="26.25" customHeight="1" x14ac:dyDescent="0.2">
      <c r="A27" s="15"/>
      <c r="B27" s="15"/>
      <c r="C27" s="15" t="s">
        <v>81</v>
      </c>
      <c r="D27" s="96"/>
      <c r="E27" s="96"/>
      <c r="F27" s="97"/>
      <c r="G27"/>
      <c r="H27" s="1"/>
      <c r="I27" s="10"/>
      <c r="J27" s="15"/>
      <c r="K27" s="15" t="s">
        <v>91</v>
      </c>
      <c r="L27" s="15"/>
      <c r="M27" s="15"/>
      <c r="N27" s="109"/>
      <c r="O27" s="15"/>
      <c r="P27" s="15"/>
      <c r="Q27" s="5"/>
      <c r="R27"/>
      <c r="S27" s="91"/>
      <c r="T27"/>
      <c r="U27"/>
      <c r="V27"/>
      <c r="W27" s="15"/>
      <c r="X27" s="15"/>
      <c r="Y27" s="15"/>
      <c r="Z27" s="91"/>
      <c r="AA27"/>
      <c r="AB27"/>
      <c r="AC27"/>
      <c r="AD27" s="92"/>
      <c r="AE27" s="1"/>
      <c r="AF27" s="90"/>
      <c r="AG27" s="90"/>
    </row>
    <row r="28" spans="1:33" s="33" customFormat="1" ht="24.7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9"/>
      <c r="R28"/>
      <c r="S28" s="10"/>
      <c r="T28"/>
      <c r="U28"/>
      <c r="V28"/>
      <c r="W28" s="15"/>
      <c r="X28" s="93"/>
      <c r="Y28" s="93"/>
      <c r="Z28" s="91"/>
      <c r="AA28"/>
      <c r="AB28"/>
      <c r="AC28"/>
      <c r="AD28" s="92"/>
      <c r="AE28"/>
      <c r="AF28" s="90"/>
      <c r="AG28" s="90"/>
    </row>
    <row r="29" spans="1:33" s="33" customFormat="1" ht="26.25" customHeight="1" x14ac:dyDescent="0.2">
      <c r="A29" s="42" t="s">
        <v>1</v>
      </c>
      <c r="B29" s="43"/>
      <c r="C29" s="44"/>
      <c r="D29" s="45"/>
      <c r="E29" s="45"/>
      <c r="F29" s="45"/>
      <c r="G29" s="45"/>
      <c r="H29" s="51"/>
      <c r="I29" s="20"/>
      <c r="J29" s="20"/>
      <c r="K29" s="20"/>
      <c r="L29" s="20"/>
      <c r="M29" s="20"/>
      <c r="N29" s="14"/>
      <c r="O29" s="15"/>
      <c r="P29"/>
      <c r="Q29"/>
      <c r="R29"/>
      <c r="S29" s="10"/>
      <c r="T29"/>
      <c r="U29"/>
      <c r="V29"/>
      <c r="W29"/>
      <c r="X29" s="94"/>
      <c r="Y29" s="94"/>
      <c r="Z29" s="15"/>
      <c r="AA29"/>
      <c r="AB29"/>
      <c r="AC29"/>
      <c r="AD29" s="92"/>
      <c r="AE29" s="4"/>
      <c r="AF29" s="32"/>
      <c r="AG29" s="32"/>
    </row>
    <row r="30" spans="1:33" s="59" customFormat="1" ht="26.25" customHeight="1" x14ac:dyDescent="0.2">
      <c r="A30" s="106" t="s">
        <v>18</v>
      </c>
      <c r="B30" s="2"/>
      <c r="C30" s="2"/>
      <c r="D30" s="46"/>
      <c r="E30" s="2" t="s">
        <v>33</v>
      </c>
      <c r="F30" s="29"/>
      <c r="G30" s="46"/>
      <c r="H30" s="52"/>
      <c r="I30" s="2"/>
      <c r="J30" s="2"/>
      <c r="K30" s="2"/>
      <c r="L30" s="2"/>
      <c r="M30" s="2"/>
      <c r="N30" s="15"/>
      <c r="O30" s="15"/>
      <c r="P30"/>
      <c r="Q30"/>
      <c r="R30"/>
      <c r="S30"/>
      <c r="T30"/>
      <c r="U30"/>
      <c r="V30"/>
      <c r="W30" s="15"/>
      <c r="X30" s="15"/>
      <c r="Y30" s="15"/>
      <c r="Z30" s="15"/>
      <c r="AA30" s="96"/>
      <c r="AB30" s="96"/>
      <c r="AC30" s="97"/>
      <c r="AD30"/>
      <c r="AE30" s="1"/>
      <c r="AF30" s="32"/>
      <c r="AG30" s="32"/>
    </row>
    <row r="31" spans="1:33" s="59" customFormat="1" ht="26.25" customHeight="1" x14ac:dyDescent="0.2">
      <c r="A31" s="49"/>
      <c r="B31" s="27"/>
      <c r="C31" s="28"/>
      <c r="D31" s="50" t="s">
        <v>33</v>
      </c>
      <c r="E31" s="2"/>
      <c r="F31" s="2"/>
      <c r="G31" s="29"/>
      <c r="H31" s="52"/>
      <c r="I31" s="2"/>
      <c r="J31" s="2"/>
      <c r="K31" s="2"/>
      <c r="L31" s="2"/>
      <c r="M31" s="2"/>
      <c r="O31" s="15"/>
      <c r="P31"/>
      <c r="Q31"/>
    </row>
    <row r="32" spans="1:33" s="59" customFormat="1" ht="26.25" customHeight="1" x14ac:dyDescent="0.2">
      <c r="A32" s="62" t="s">
        <v>33</v>
      </c>
      <c r="B32" s="63"/>
      <c r="C32" s="64"/>
      <c r="D32" s="65"/>
      <c r="E32" s="47"/>
      <c r="F32" s="47"/>
      <c r="G32" s="66"/>
      <c r="H32" s="48"/>
      <c r="I32" s="2"/>
      <c r="J32" s="2"/>
      <c r="K32" s="2"/>
      <c r="L32" s="2"/>
      <c r="M32" s="2"/>
      <c r="N32" s="58"/>
      <c r="O32"/>
    </row>
    <row r="33" spans="1:14" s="59" customFormat="1" ht="22.5" customHeight="1" x14ac:dyDescent="0.2">
      <c r="A33" s="18"/>
      <c r="B33" s="56"/>
      <c r="C33" s="22"/>
      <c r="D33" s="60"/>
      <c r="E33" s="61"/>
      <c r="F33" s="41"/>
      <c r="G33" s="60"/>
      <c r="H33" s="40"/>
      <c r="I33" s="40"/>
      <c r="J33" s="40"/>
      <c r="K33" s="40"/>
      <c r="L33" s="40"/>
      <c r="M33" s="40"/>
      <c r="N33" s="60"/>
    </row>
    <row r="34" spans="1:14" s="59" customFormat="1" ht="26.25" customHeight="1" x14ac:dyDescent="0.2">
      <c r="A34" s="18" t="s">
        <v>123</v>
      </c>
      <c r="B34" s="56"/>
      <c r="C34" s="22"/>
      <c r="D34" s="60"/>
      <c r="E34" s="61"/>
      <c r="F34" s="41"/>
      <c r="G34" s="60"/>
      <c r="N34" s="58"/>
    </row>
    <row r="35" spans="1:14" s="59" customFormat="1" ht="26.25" customHeight="1" x14ac:dyDescent="0.2">
      <c r="A35" s="58" t="s">
        <v>124</v>
      </c>
      <c r="B35" s="56"/>
      <c r="C35" s="22"/>
      <c r="D35" s="60"/>
      <c r="E35" s="61"/>
      <c r="F35" s="41"/>
      <c r="G35" s="60"/>
      <c r="N35" s="58"/>
    </row>
    <row r="36" spans="1:14" s="59" customFormat="1" ht="26.25" customHeight="1" x14ac:dyDescent="0.2">
      <c r="A36" s="18" t="s">
        <v>125</v>
      </c>
      <c r="B36" s="18"/>
      <c r="C36" s="9"/>
      <c r="D36" s="60"/>
      <c r="E36" s="61"/>
      <c r="F36" s="41"/>
      <c r="G36" s="60"/>
      <c r="N36" s="58"/>
    </row>
    <row r="37" spans="1:14" ht="24.75" customHeight="1" x14ac:dyDescent="0.2">
      <c r="A37" s="18" t="s">
        <v>126</v>
      </c>
      <c r="B37" s="18"/>
      <c r="C37" s="9"/>
      <c r="D37" s="60"/>
    </row>
  </sheetData>
  <mergeCells count="10">
    <mergeCell ref="A10:B10"/>
    <mergeCell ref="D10:F10"/>
    <mergeCell ref="G10:H10"/>
    <mergeCell ref="I10:J10"/>
    <mergeCell ref="K10:L10"/>
    <mergeCell ref="A1:G3"/>
    <mergeCell ref="A5:C6"/>
    <mergeCell ref="D9:H9"/>
    <mergeCell ref="P4:Q4"/>
    <mergeCell ref="I9:L9"/>
  </mergeCells>
  <phoneticPr fontId="2"/>
  <hyperlinks>
    <hyperlink ref="Q3" r:id="rId1" xr:uid="{00000000-0004-0000-0F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5A68-2528-431B-B17E-70C4E14FC5BA}">
  <sheetPr>
    <tabColor rgb="FF92D050"/>
  </sheetPr>
  <dimension ref="A1:AG39"/>
  <sheetViews>
    <sheetView showGridLines="0" showOutlineSymbols="0" zoomScale="55" zoomScaleNormal="59" workbookViewId="0">
      <selection activeCell="A5" sqref="A5:C6"/>
    </sheetView>
  </sheetViews>
  <sheetFormatPr defaultRowHeight="13.5" x14ac:dyDescent="0.15"/>
  <cols>
    <col min="1" max="1" width="18.625" customWidth="1"/>
    <col min="2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278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151">
        <v>44075</v>
      </c>
      <c r="P4" s="258">
        <v>43681</v>
      </c>
      <c r="Q4" s="259"/>
    </row>
    <row r="5" spans="1:17" ht="24" customHeight="1" x14ac:dyDescent="0.2">
      <c r="A5" s="260" t="s">
        <v>315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150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279</v>
      </c>
      <c r="B11" s="68"/>
      <c r="C11" s="69" t="s">
        <v>282</v>
      </c>
      <c r="D11" s="117" t="s">
        <v>192</v>
      </c>
      <c r="E11" s="98" t="s">
        <v>283</v>
      </c>
      <c r="F11" s="99"/>
      <c r="G11" s="53">
        <v>44071</v>
      </c>
      <c r="H11" s="74"/>
      <c r="I11" s="112" t="s">
        <v>192</v>
      </c>
      <c r="J11" s="98" t="s">
        <v>311</v>
      </c>
      <c r="K11" s="112">
        <v>44074</v>
      </c>
      <c r="L11" s="74"/>
      <c r="M11" s="145">
        <v>44080</v>
      </c>
      <c r="N11" s="146">
        <v>44105</v>
      </c>
      <c r="O11" s="147">
        <v>44112</v>
      </c>
      <c r="P11" s="72" t="s">
        <v>29</v>
      </c>
    </row>
    <row r="12" spans="1:17" ht="26.1" customHeight="1" x14ac:dyDescent="0.2">
      <c r="A12" s="89" t="s">
        <v>280</v>
      </c>
      <c r="B12" s="68"/>
      <c r="C12" s="69" t="s">
        <v>284</v>
      </c>
      <c r="D12" s="117" t="s">
        <v>192</v>
      </c>
      <c r="E12" s="98" t="s">
        <v>285</v>
      </c>
      <c r="F12" s="99"/>
      <c r="G12" s="53">
        <v>44076</v>
      </c>
      <c r="H12" s="74"/>
      <c r="I12" s="112" t="s">
        <v>192</v>
      </c>
      <c r="J12" s="98" t="s">
        <v>285</v>
      </c>
      <c r="K12" s="112">
        <v>44076</v>
      </c>
      <c r="L12" s="74"/>
      <c r="M12" s="145">
        <v>44081</v>
      </c>
      <c r="N12" s="146">
        <v>44106</v>
      </c>
      <c r="O12" s="147">
        <v>44113</v>
      </c>
      <c r="P12" s="72" t="s">
        <v>28</v>
      </c>
    </row>
    <row r="13" spans="1:17" ht="26.1" customHeight="1" x14ac:dyDescent="0.2">
      <c r="A13" s="89" t="s">
        <v>281</v>
      </c>
      <c r="B13" s="68"/>
      <c r="C13" s="69" t="s">
        <v>286</v>
      </c>
      <c r="D13" s="117" t="s">
        <v>192</v>
      </c>
      <c r="E13" s="98" t="s">
        <v>287</v>
      </c>
      <c r="F13" s="99"/>
      <c r="G13" s="53">
        <v>44077</v>
      </c>
      <c r="H13" s="74"/>
      <c r="I13" s="112" t="s">
        <v>192</v>
      </c>
      <c r="J13" s="98" t="s">
        <v>314</v>
      </c>
      <c r="K13" s="112">
        <v>44077</v>
      </c>
      <c r="L13" s="74"/>
      <c r="M13" s="145">
        <v>44085</v>
      </c>
      <c r="N13" s="146">
        <v>44110</v>
      </c>
      <c r="O13" s="147">
        <v>44117</v>
      </c>
      <c r="P13" s="72"/>
    </row>
    <row r="14" spans="1:17" ht="26.1" customHeight="1" x14ac:dyDescent="0.2">
      <c r="A14" s="89" t="s">
        <v>279</v>
      </c>
      <c r="B14" s="68"/>
      <c r="C14" s="69" t="s">
        <v>288</v>
      </c>
      <c r="D14" s="117" t="s">
        <v>192</v>
      </c>
      <c r="E14" s="98" t="s">
        <v>289</v>
      </c>
      <c r="F14" s="99"/>
      <c r="G14" s="53">
        <v>44078</v>
      </c>
      <c r="H14" s="74"/>
      <c r="I14" s="117" t="s">
        <v>192</v>
      </c>
      <c r="J14" s="98" t="s">
        <v>312</v>
      </c>
      <c r="K14" s="113">
        <v>44081</v>
      </c>
      <c r="L14" s="102"/>
      <c r="M14" s="145">
        <v>44087</v>
      </c>
      <c r="N14" s="146">
        <v>44112</v>
      </c>
      <c r="O14" s="147">
        <v>44119</v>
      </c>
      <c r="P14" s="72"/>
    </row>
    <row r="15" spans="1:17" ht="26.1" customHeight="1" x14ac:dyDescent="0.2">
      <c r="A15" s="89" t="s">
        <v>280</v>
      </c>
      <c r="B15" s="68"/>
      <c r="C15" s="69" t="s">
        <v>290</v>
      </c>
      <c r="D15" s="117" t="s">
        <v>192</v>
      </c>
      <c r="E15" s="98" t="s">
        <v>291</v>
      </c>
      <c r="F15" s="99"/>
      <c r="G15" s="53">
        <v>44083</v>
      </c>
      <c r="H15" s="74"/>
      <c r="I15" s="117" t="s">
        <v>192</v>
      </c>
      <c r="J15" s="98" t="s">
        <v>291</v>
      </c>
      <c r="K15" s="112">
        <v>44083</v>
      </c>
      <c r="L15" s="74"/>
      <c r="M15" s="145">
        <v>44088</v>
      </c>
      <c r="N15" s="146">
        <v>44113</v>
      </c>
      <c r="O15" s="147">
        <v>44120</v>
      </c>
      <c r="P15" s="72"/>
    </row>
    <row r="16" spans="1:17" ht="26.1" customHeight="1" x14ac:dyDescent="0.2">
      <c r="A16" s="89" t="s">
        <v>281</v>
      </c>
      <c r="B16" s="68"/>
      <c r="C16" s="69" t="s">
        <v>292</v>
      </c>
      <c r="D16" s="117" t="s">
        <v>192</v>
      </c>
      <c r="E16" s="98" t="s">
        <v>293</v>
      </c>
      <c r="F16" s="99"/>
      <c r="G16" s="53">
        <v>44084</v>
      </c>
      <c r="H16" s="74"/>
      <c r="I16" s="117" t="s">
        <v>192</v>
      </c>
      <c r="J16" s="98" t="s">
        <v>313</v>
      </c>
      <c r="K16" s="112">
        <v>44084</v>
      </c>
      <c r="L16" s="74"/>
      <c r="M16" s="145">
        <v>44092</v>
      </c>
      <c r="N16" s="146">
        <v>44117</v>
      </c>
      <c r="O16" s="147">
        <v>44124</v>
      </c>
      <c r="P16" s="72"/>
    </row>
    <row r="17" spans="1:33" ht="26.1" customHeight="1" x14ac:dyDescent="0.2">
      <c r="A17" s="89" t="s">
        <v>279</v>
      </c>
      <c r="B17" s="68"/>
      <c r="C17" s="69" t="s">
        <v>294</v>
      </c>
      <c r="D17" s="117" t="s">
        <v>192</v>
      </c>
      <c r="E17" s="98" t="s">
        <v>295</v>
      </c>
      <c r="F17" s="99"/>
      <c r="G17" s="53">
        <v>44085</v>
      </c>
      <c r="H17" s="74"/>
      <c r="I17" s="117" t="s">
        <v>192</v>
      </c>
      <c r="J17" s="98" t="s">
        <v>296</v>
      </c>
      <c r="K17" s="112">
        <v>44088</v>
      </c>
      <c r="L17" s="74"/>
      <c r="M17" s="145">
        <v>44094</v>
      </c>
      <c r="N17" s="146">
        <v>44119</v>
      </c>
      <c r="O17" s="147">
        <v>44126</v>
      </c>
      <c r="P17" s="72"/>
    </row>
    <row r="18" spans="1:33" ht="26.1" customHeight="1" x14ac:dyDescent="0.2">
      <c r="A18" s="89" t="s">
        <v>280</v>
      </c>
      <c r="B18" s="68"/>
      <c r="C18" s="69" t="s">
        <v>303</v>
      </c>
      <c r="D18" s="117" t="s">
        <v>192</v>
      </c>
      <c r="E18" s="98" t="s">
        <v>297</v>
      </c>
      <c r="F18" s="99"/>
      <c r="G18" s="53">
        <v>44090</v>
      </c>
      <c r="H18" s="74"/>
      <c r="I18" s="117" t="s">
        <v>192</v>
      </c>
      <c r="J18" s="98" t="s">
        <v>297</v>
      </c>
      <c r="K18" s="112">
        <v>44090</v>
      </c>
      <c r="L18" s="74"/>
      <c r="M18" s="145">
        <v>44095</v>
      </c>
      <c r="N18" s="146">
        <v>44120</v>
      </c>
      <c r="O18" s="147">
        <v>44127</v>
      </c>
      <c r="P18" s="72" t="s">
        <v>28</v>
      </c>
    </row>
    <row r="19" spans="1:33" ht="26.1" customHeight="1" x14ac:dyDescent="0.2">
      <c r="A19" s="89" t="s">
        <v>281</v>
      </c>
      <c r="B19" s="68"/>
      <c r="C19" s="69" t="s">
        <v>298</v>
      </c>
      <c r="D19" s="117" t="s">
        <v>192</v>
      </c>
      <c r="E19" s="98" t="s">
        <v>299</v>
      </c>
      <c r="F19" s="99"/>
      <c r="G19" s="53">
        <v>44091</v>
      </c>
      <c r="H19" s="74"/>
      <c r="I19" s="117" t="s">
        <v>192</v>
      </c>
      <c r="J19" s="98" t="s">
        <v>300</v>
      </c>
      <c r="K19" s="112">
        <v>44091</v>
      </c>
      <c r="L19" s="74"/>
      <c r="M19" s="145">
        <v>44099</v>
      </c>
      <c r="N19" s="146">
        <v>44124</v>
      </c>
      <c r="O19" s="147">
        <v>44131</v>
      </c>
      <c r="P19" s="72" t="s">
        <v>28</v>
      </c>
    </row>
    <row r="20" spans="1:33" ht="26.1" customHeight="1" x14ac:dyDescent="0.2">
      <c r="A20" s="89" t="s">
        <v>301</v>
      </c>
      <c r="B20" s="68"/>
      <c r="C20" s="69"/>
      <c r="D20" s="117"/>
      <c r="E20" s="98"/>
      <c r="F20" s="99"/>
      <c r="G20" s="53"/>
      <c r="H20" s="74"/>
      <c r="I20" s="112"/>
      <c r="J20" s="98"/>
      <c r="K20" s="112"/>
      <c r="L20" s="74"/>
      <c r="M20" s="145"/>
      <c r="N20" s="146"/>
      <c r="O20" s="147"/>
      <c r="P20" s="72"/>
    </row>
    <row r="21" spans="1:33" ht="26.1" customHeight="1" x14ac:dyDescent="0.2">
      <c r="A21" s="89" t="s">
        <v>280</v>
      </c>
      <c r="B21" s="68"/>
      <c r="C21" s="69" t="s">
        <v>302</v>
      </c>
      <c r="D21" s="117" t="s">
        <v>192</v>
      </c>
      <c r="E21" s="98" t="s">
        <v>304</v>
      </c>
      <c r="F21" s="99"/>
      <c r="G21" s="53">
        <v>44097</v>
      </c>
      <c r="H21" s="74"/>
      <c r="I21" s="112" t="s">
        <v>192</v>
      </c>
      <c r="J21" s="98" t="s">
        <v>304</v>
      </c>
      <c r="K21" s="112">
        <v>44097</v>
      </c>
      <c r="L21" s="74"/>
      <c r="M21" s="145">
        <v>44102</v>
      </c>
      <c r="N21" s="146">
        <v>44127</v>
      </c>
      <c r="O21" s="147">
        <v>44134</v>
      </c>
      <c r="P21" s="72"/>
    </row>
    <row r="22" spans="1:33" ht="26.1" customHeight="1" x14ac:dyDescent="0.2">
      <c r="A22" s="89" t="s">
        <v>281</v>
      </c>
      <c r="B22" s="68"/>
      <c r="C22" s="69" t="s">
        <v>305</v>
      </c>
      <c r="D22" s="117" t="s">
        <v>192</v>
      </c>
      <c r="E22" s="98" t="s">
        <v>306</v>
      </c>
      <c r="F22" s="99"/>
      <c r="G22" s="53">
        <v>44098</v>
      </c>
      <c r="H22" s="74"/>
      <c r="I22" s="112" t="s">
        <v>192</v>
      </c>
      <c r="J22" s="98" t="s">
        <v>307</v>
      </c>
      <c r="K22" s="112">
        <v>44098</v>
      </c>
      <c r="L22" s="74"/>
      <c r="M22" s="145">
        <v>44106</v>
      </c>
      <c r="N22" s="146">
        <v>44131</v>
      </c>
      <c r="O22" s="147">
        <v>44138</v>
      </c>
      <c r="P22" s="72"/>
    </row>
    <row r="23" spans="1:33" ht="25.5" customHeight="1" x14ac:dyDescent="0.2">
      <c r="A23" s="89" t="s">
        <v>279</v>
      </c>
      <c r="B23" s="68"/>
      <c r="C23" s="69" t="s">
        <v>308</v>
      </c>
      <c r="D23" s="117" t="s">
        <v>192</v>
      </c>
      <c r="E23" s="98" t="s">
        <v>309</v>
      </c>
      <c r="F23" s="99"/>
      <c r="G23" s="53">
        <v>44099</v>
      </c>
      <c r="H23" s="74"/>
      <c r="I23" s="112" t="s">
        <v>192</v>
      </c>
      <c r="J23" s="98" t="s">
        <v>310</v>
      </c>
      <c r="K23" s="112">
        <v>44102</v>
      </c>
      <c r="L23" s="74"/>
      <c r="M23" s="145">
        <v>44108</v>
      </c>
      <c r="N23" s="146">
        <v>44133</v>
      </c>
      <c r="O23" s="147">
        <v>44140</v>
      </c>
      <c r="P23" s="72"/>
    </row>
    <row r="24" spans="1:33" ht="21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72"/>
    </row>
    <row r="25" spans="1:33" ht="26.25" customHeight="1" x14ac:dyDescent="0.2">
      <c r="A25" s="15" t="s">
        <v>50</v>
      </c>
      <c r="B25" s="15"/>
      <c r="J25" s="90"/>
      <c r="K25" s="90"/>
      <c r="L25" s="54"/>
      <c r="M25" s="54"/>
      <c r="N25" s="54"/>
      <c r="O25" s="54"/>
      <c r="P25" s="72"/>
    </row>
    <row r="26" spans="1:33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08"/>
      <c r="P26" s="108"/>
    </row>
    <row r="27" spans="1:33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8"/>
      <c r="P27" s="108"/>
      <c r="Q27"/>
    </row>
    <row r="28" spans="1:33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5"/>
      <c r="P28" s="15"/>
      <c r="Q28"/>
      <c r="R28"/>
      <c r="S28"/>
      <c r="T28"/>
      <c r="U28"/>
      <c r="V28"/>
      <c r="W28" s="15"/>
      <c r="X28" s="15"/>
      <c r="Y28" s="15"/>
      <c r="Z28"/>
      <c r="AA28"/>
      <c r="AB28"/>
      <c r="AC28"/>
      <c r="AD28"/>
      <c r="AE28"/>
      <c r="AF28" s="90"/>
      <c r="AG28" s="90"/>
    </row>
    <row r="29" spans="1:33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5"/>
      <c r="R29"/>
      <c r="S29" s="91"/>
      <c r="T29"/>
      <c r="U29"/>
      <c r="V29"/>
      <c r="W29" s="15"/>
      <c r="X29" s="15"/>
      <c r="Y29" s="15"/>
      <c r="Z29" s="91"/>
      <c r="AA29"/>
      <c r="AB29"/>
      <c r="AC29"/>
      <c r="AD29" s="92"/>
      <c r="AE29" s="1"/>
      <c r="AF29" s="90"/>
      <c r="AG29" s="90"/>
    </row>
    <row r="30" spans="1:33" s="33" customFormat="1" ht="24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9"/>
      <c r="R30"/>
      <c r="S30" s="10"/>
      <c r="T30"/>
      <c r="U30"/>
      <c r="V30"/>
      <c r="W30" s="15"/>
      <c r="X30" s="93"/>
      <c r="Y30" s="93"/>
      <c r="Z30" s="91"/>
      <c r="AA30"/>
      <c r="AB30"/>
      <c r="AC30"/>
      <c r="AD30" s="92"/>
      <c r="AE30"/>
      <c r="AF30" s="90"/>
      <c r="AG30" s="90"/>
    </row>
    <row r="31" spans="1:33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/>
      <c r="Q31"/>
      <c r="R31"/>
      <c r="S31" s="10"/>
      <c r="T31"/>
      <c r="U31"/>
      <c r="V31"/>
      <c r="W31"/>
      <c r="X31" s="94"/>
      <c r="Y31" s="94"/>
      <c r="Z31" s="15"/>
      <c r="AA31"/>
      <c r="AB31"/>
      <c r="AC31"/>
      <c r="AD31" s="92"/>
      <c r="AE31" s="4"/>
      <c r="AF31" s="32"/>
      <c r="AG31" s="32"/>
    </row>
    <row r="32" spans="1:33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/>
      <c r="Q32"/>
      <c r="R32"/>
      <c r="S32"/>
      <c r="T32"/>
      <c r="U32"/>
      <c r="V32"/>
      <c r="W32" s="15"/>
      <c r="X32" s="15"/>
      <c r="Y32" s="15"/>
      <c r="Z32" s="15"/>
      <c r="AA32" s="96"/>
      <c r="AB32" s="96"/>
      <c r="AC32" s="97"/>
      <c r="AD32"/>
      <c r="AE32" s="1"/>
      <c r="AF32" s="32"/>
      <c r="AG32" s="32"/>
    </row>
    <row r="33" spans="1:17" s="59" customFormat="1" ht="26.25" customHeight="1" x14ac:dyDescent="0.2">
      <c r="A33" s="49"/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/>
      <c r="Q33"/>
    </row>
    <row r="34" spans="1:17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</row>
    <row r="35" spans="1:17" s="59" customFormat="1" ht="22.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7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</row>
    <row r="37" spans="1:17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</row>
    <row r="38" spans="1:17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</row>
    <row r="39" spans="1:17" ht="24.75" customHeight="1" x14ac:dyDescent="0.2">
      <c r="A39" s="18" t="s">
        <v>126</v>
      </c>
      <c r="B39" s="18"/>
      <c r="C39" s="9"/>
      <c r="D39" s="60"/>
    </row>
  </sheetData>
  <mergeCells count="10">
    <mergeCell ref="A1:G3"/>
    <mergeCell ref="P4:Q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Q3" r:id="rId1" xr:uid="{8C6E5416-CA1A-4100-AA02-ED3655878ECB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39"/>
  <sheetViews>
    <sheetView topLeftCell="D8" workbookViewId="0">
      <selection activeCell="M11" sqref="M11"/>
    </sheetView>
  </sheetViews>
  <sheetFormatPr defaultRowHeight="13.5" x14ac:dyDescent="0.15"/>
  <cols>
    <col min="1" max="1" width="18.625" customWidth="1"/>
    <col min="2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278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151">
        <v>44136</v>
      </c>
      <c r="P4" s="258">
        <v>43681</v>
      </c>
      <c r="Q4" s="259"/>
    </row>
    <row r="5" spans="1:17" ht="24" customHeight="1" x14ac:dyDescent="0.2">
      <c r="A5" s="260" t="s">
        <v>27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152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318</v>
      </c>
      <c r="B11" s="68"/>
      <c r="C11" s="69" t="s">
        <v>319</v>
      </c>
      <c r="D11" s="117" t="s">
        <v>320</v>
      </c>
      <c r="E11" s="98" t="s">
        <v>316</v>
      </c>
      <c r="F11" s="99"/>
      <c r="G11" s="53">
        <v>44133</v>
      </c>
      <c r="H11" s="74"/>
      <c r="I11" s="112" t="s">
        <v>320</v>
      </c>
      <c r="J11" s="98" t="s">
        <v>316</v>
      </c>
      <c r="K11" s="112">
        <v>44133</v>
      </c>
      <c r="L11" s="74"/>
      <c r="M11" s="145">
        <v>44141</v>
      </c>
      <c r="N11" s="146">
        <v>44166</v>
      </c>
      <c r="O11" s="147">
        <v>44173</v>
      </c>
      <c r="P11" s="72" t="s">
        <v>29</v>
      </c>
    </row>
    <row r="12" spans="1:17" ht="26.1" customHeight="1" x14ac:dyDescent="0.2">
      <c r="A12" s="89" t="s">
        <v>321</v>
      </c>
      <c r="B12" s="68"/>
      <c r="C12" s="69" t="s">
        <v>322</v>
      </c>
      <c r="D12" s="117" t="s">
        <v>320</v>
      </c>
      <c r="E12" s="98" t="s">
        <v>323</v>
      </c>
      <c r="F12" s="99"/>
      <c r="G12" s="53">
        <v>44134</v>
      </c>
      <c r="H12" s="74"/>
      <c r="I12" s="112" t="s">
        <v>320</v>
      </c>
      <c r="J12" s="98" t="s">
        <v>324</v>
      </c>
      <c r="K12" s="112">
        <v>44134</v>
      </c>
      <c r="L12" s="74"/>
      <c r="M12" s="145">
        <v>44143</v>
      </c>
      <c r="N12" s="146">
        <v>44168</v>
      </c>
      <c r="O12" s="147">
        <v>44175</v>
      </c>
      <c r="P12" s="72" t="s">
        <v>28</v>
      </c>
    </row>
    <row r="13" spans="1:17" ht="26.1" customHeight="1" x14ac:dyDescent="0.2">
      <c r="A13" s="89" t="s">
        <v>325</v>
      </c>
      <c r="B13" s="68"/>
      <c r="C13" s="69" t="s">
        <v>326</v>
      </c>
      <c r="D13" s="117" t="s">
        <v>320</v>
      </c>
      <c r="E13" s="98" t="s">
        <v>327</v>
      </c>
      <c r="F13" s="99"/>
      <c r="G13" s="53">
        <v>44139</v>
      </c>
      <c r="H13" s="74"/>
      <c r="I13" s="112" t="s">
        <v>320</v>
      </c>
      <c r="J13" s="98" t="s">
        <v>327</v>
      </c>
      <c r="K13" s="112">
        <v>44139</v>
      </c>
      <c r="L13" s="74"/>
      <c r="M13" s="145">
        <v>44144</v>
      </c>
      <c r="N13" s="146">
        <v>44169</v>
      </c>
      <c r="O13" s="147">
        <v>44176</v>
      </c>
      <c r="P13" s="72"/>
    </row>
    <row r="14" spans="1:17" ht="26.1" customHeight="1" x14ac:dyDescent="0.2">
      <c r="A14" s="89" t="s">
        <v>318</v>
      </c>
      <c r="B14" s="68"/>
      <c r="C14" s="69" t="s">
        <v>328</v>
      </c>
      <c r="D14" s="117" t="s">
        <v>320</v>
      </c>
      <c r="E14" s="98" t="s">
        <v>317</v>
      </c>
      <c r="F14" s="99"/>
      <c r="G14" s="53">
        <v>44140</v>
      </c>
      <c r="H14" s="74"/>
      <c r="I14" s="117" t="s">
        <v>320</v>
      </c>
      <c r="J14" s="98" t="s">
        <v>329</v>
      </c>
      <c r="K14" s="113">
        <v>44140</v>
      </c>
      <c r="L14" s="102"/>
      <c r="M14" s="145">
        <v>44148</v>
      </c>
      <c r="N14" s="146">
        <v>44173</v>
      </c>
      <c r="O14" s="147">
        <v>44180</v>
      </c>
      <c r="P14" s="72"/>
    </row>
    <row r="15" spans="1:17" ht="26.1" customHeight="1" x14ac:dyDescent="0.2">
      <c r="A15" s="89" t="s">
        <v>321</v>
      </c>
      <c r="B15" s="68"/>
      <c r="C15" s="69" t="s">
        <v>330</v>
      </c>
      <c r="D15" s="117" t="s">
        <v>320</v>
      </c>
      <c r="E15" s="98" t="s">
        <v>331</v>
      </c>
      <c r="F15" s="99"/>
      <c r="G15" s="53">
        <v>44141</v>
      </c>
      <c r="H15" s="74"/>
      <c r="I15" s="117" t="s">
        <v>320</v>
      </c>
      <c r="J15" s="98" t="s">
        <v>332</v>
      </c>
      <c r="K15" s="112">
        <v>44141</v>
      </c>
      <c r="L15" s="74"/>
      <c r="M15" s="145">
        <v>44150</v>
      </c>
      <c r="N15" s="146">
        <v>44175</v>
      </c>
      <c r="O15" s="147">
        <v>44182</v>
      </c>
      <c r="P15" s="72"/>
    </row>
    <row r="16" spans="1:17" ht="26.1" customHeight="1" x14ac:dyDescent="0.2">
      <c r="A16" s="89" t="s">
        <v>325</v>
      </c>
      <c r="B16" s="68"/>
      <c r="C16" s="69" t="s">
        <v>333</v>
      </c>
      <c r="D16" s="117" t="s">
        <v>320</v>
      </c>
      <c r="E16" s="98" t="s">
        <v>334</v>
      </c>
      <c r="F16" s="99"/>
      <c r="G16" s="53">
        <v>44146</v>
      </c>
      <c r="H16" s="74"/>
      <c r="I16" s="117" t="s">
        <v>320</v>
      </c>
      <c r="J16" s="98" t="s">
        <v>334</v>
      </c>
      <c r="K16" s="112">
        <v>44146</v>
      </c>
      <c r="L16" s="74"/>
      <c r="M16" s="145">
        <v>44151</v>
      </c>
      <c r="N16" s="146">
        <v>44176</v>
      </c>
      <c r="O16" s="147">
        <v>44183</v>
      </c>
      <c r="P16" s="72"/>
    </row>
    <row r="17" spans="1:33" ht="26.1" customHeight="1" x14ac:dyDescent="0.2">
      <c r="A17" s="89" t="s">
        <v>318</v>
      </c>
      <c r="B17" s="68"/>
      <c r="C17" s="69" t="s">
        <v>335</v>
      </c>
      <c r="D17" s="117" t="s">
        <v>320</v>
      </c>
      <c r="E17" s="98" t="s">
        <v>336</v>
      </c>
      <c r="F17" s="99"/>
      <c r="G17" s="53">
        <v>44147</v>
      </c>
      <c r="H17" s="74"/>
      <c r="I17" s="117" t="s">
        <v>320</v>
      </c>
      <c r="J17" s="98" t="s">
        <v>337</v>
      </c>
      <c r="K17" s="112">
        <v>44147</v>
      </c>
      <c r="L17" s="74"/>
      <c r="M17" s="145">
        <v>44155</v>
      </c>
      <c r="N17" s="146">
        <v>44180</v>
      </c>
      <c r="O17" s="147">
        <v>44187</v>
      </c>
      <c r="P17" s="72"/>
    </row>
    <row r="18" spans="1:33" ht="26.1" customHeight="1" x14ac:dyDescent="0.2">
      <c r="A18" s="89" t="s">
        <v>321</v>
      </c>
      <c r="B18" s="68"/>
      <c r="C18" s="69" t="s">
        <v>338</v>
      </c>
      <c r="D18" s="117" t="s">
        <v>320</v>
      </c>
      <c r="E18" s="98" t="s">
        <v>339</v>
      </c>
      <c r="F18" s="99"/>
      <c r="G18" s="53">
        <v>44148</v>
      </c>
      <c r="H18" s="74"/>
      <c r="I18" s="117" t="s">
        <v>320</v>
      </c>
      <c r="J18" s="98" t="s">
        <v>340</v>
      </c>
      <c r="K18" s="112">
        <v>44151</v>
      </c>
      <c r="L18" s="74"/>
      <c r="M18" s="145">
        <v>44157</v>
      </c>
      <c r="N18" s="146">
        <v>44182</v>
      </c>
      <c r="O18" s="147">
        <v>44189</v>
      </c>
      <c r="P18" s="72" t="s">
        <v>28</v>
      </c>
    </row>
    <row r="19" spans="1:33" ht="26.1" customHeight="1" x14ac:dyDescent="0.2">
      <c r="A19" s="89" t="s">
        <v>325</v>
      </c>
      <c r="B19" s="68"/>
      <c r="C19" s="69" t="s">
        <v>341</v>
      </c>
      <c r="D19" s="117" t="s">
        <v>320</v>
      </c>
      <c r="E19" s="98" t="s">
        <v>342</v>
      </c>
      <c r="F19" s="99"/>
      <c r="G19" s="53">
        <v>44153</v>
      </c>
      <c r="H19" s="74"/>
      <c r="I19" s="117" t="s">
        <v>320</v>
      </c>
      <c r="J19" s="98" t="s">
        <v>342</v>
      </c>
      <c r="K19" s="112">
        <v>44153</v>
      </c>
      <c r="L19" s="74"/>
      <c r="M19" s="145">
        <v>44158</v>
      </c>
      <c r="N19" s="146">
        <v>44183</v>
      </c>
      <c r="O19" s="147">
        <v>44190</v>
      </c>
      <c r="P19" s="72" t="s">
        <v>28</v>
      </c>
    </row>
    <row r="20" spans="1:33" ht="26.1" customHeight="1" x14ac:dyDescent="0.2">
      <c r="A20" s="89" t="s">
        <v>318</v>
      </c>
      <c r="B20" s="68"/>
      <c r="C20" s="69" t="s">
        <v>343</v>
      </c>
      <c r="D20" s="117" t="s">
        <v>320</v>
      </c>
      <c r="E20" s="98" t="s">
        <v>344</v>
      </c>
      <c r="F20" s="99"/>
      <c r="G20" s="53">
        <v>44154</v>
      </c>
      <c r="H20" s="74"/>
      <c r="I20" s="112" t="s">
        <v>320</v>
      </c>
      <c r="J20" s="98" t="s">
        <v>345</v>
      </c>
      <c r="K20" s="112">
        <v>44154</v>
      </c>
      <c r="L20" s="74"/>
      <c r="M20" s="145">
        <v>44162</v>
      </c>
      <c r="N20" s="146">
        <v>44187</v>
      </c>
      <c r="O20" s="147">
        <v>44194</v>
      </c>
      <c r="P20" s="72"/>
    </row>
    <row r="21" spans="1:33" ht="26.1" customHeight="1" x14ac:dyDescent="0.2">
      <c r="A21" s="89" t="s">
        <v>321</v>
      </c>
      <c r="B21" s="68"/>
      <c r="C21" s="69" t="s">
        <v>346</v>
      </c>
      <c r="D21" s="117" t="s">
        <v>320</v>
      </c>
      <c r="E21" s="98" t="s">
        <v>347</v>
      </c>
      <c r="F21" s="99"/>
      <c r="G21" s="53">
        <v>44154</v>
      </c>
      <c r="H21" s="74"/>
      <c r="I21" s="112" t="s">
        <v>320</v>
      </c>
      <c r="J21" s="98" t="s">
        <v>348</v>
      </c>
      <c r="K21" s="112">
        <v>44155</v>
      </c>
      <c r="L21" s="74"/>
      <c r="M21" s="145">
        <v>44164</v>
      </c>
      <c r="N21" s="146">
        <v>44189</v>
      </c>
      <c r="O21" s="147">
        <v>44196</v>
      </c>
      <c r="P21" s="72"/>
    </row>
    <row r="22" spans="1:33" ht="26.1" customHeight="1" x14ac:dyDescent="0.2">
      <c r="A22" s="89" t="s">
        <v>325</v>
      </c>
      <c r="B22" s="68"/>
      <c r="C22" s="69" t="s">
        <v>349</v>
      </c>
      <c r="D22" s="117" t="s">
        <v>320</v>
      </c>
      <c r="E22" s="98" t="s">
        <v>350</v>
      </c>
      <c r="F22" s="99"/>
      <c r="G22" s="53">
        <v>44160</v>
      </c>
      <c r="H22" s="74"/>
      <c r="I22" s="112" t="s">
        <v>320</v>
      </c>
      <c r="J22" s="98" t="s">
        <v>350</v>
      </c>
      <c r="K22" s="112">
        <v>44160</v>
      </c>
      <c r="L22" s="74"/>
      <c r="M22" s="145">
        <v>44165</v>
      </c>
      <c r="N22" s="146">
        <v>44190</v>
      </c>
      <c r="O22" s="147">
        <v>43831</v>
      </c>
      <c r="P22" s="72"/>
    </row>
    <row r="23" spans="1:33" ht="25.5" customHeight="1" x14ac:dyDescent="0.2">
      <c r="A23" s="153" t="s">
        <v>318</v>
      </c>
      <c r="B23" s="154"/>
      <c r="C23" s="69" t="s">
        <v>351</v>
      </c>
      <c r="D23" s="117" t="s">
        <v>320</v>
      </c>
      <c r="E23" s="98" t="s">
        <v>352</v>
      </c>
      <c r="F23" s="99"/>
      <c r="G23" s="53">
        <v>44161</v>
      </c>
      <c r="H23" s="74"/>
      <c r="I23" s="112" t="s">
        <v>320</v>
      </c>
      <c r="J23" s="98" t="s">
        <v>353</v>
      </c>
      <c r="K23" s="112">
        <v>44161</v>
      </c>
      <c r="L23" s="74"/>
      <c r="M23" s="145">
        <v>44169</v>
      </c>
      <c r="N23" s="146">
        <v>44194</v>
      </c>
      <c r="O23" s="147">
        <v>43835</v>
      </c>
      <c r="P23" s="72"/>
    </row>
    <row r="24" spans="1:33" ht="21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72"/>
    </row>
    <row r="25" spans="1:33" ht="26.25" customHeight="1" x14ac:dyDescent="0.2">
      <c r="A25" s="67"/>
      <c r="B25" s="18"/>
      <c r="J25" s="90"/>
      <c r="K25" s="90"/>
      <c r="L25" s="54"/>
      <c r="M25" s="54"/>
      <c r="N25" s="54"/>
      <c r="O25" s="54"/>
      <c r="P25" s="72"/>
    </row>
    <row r="26" spans="1:33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08"/>
      <c r="P26" s="108"/>
    </row>
    <row r="27" spans="1:33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8"/>
      <c r="P27" s="108"/>
      <c r="Q27"/>
    </row>
    <row r="28" spans="1:33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5"/>
      <c r="P28" s="15"/>
      <c r="Q28"/>
      <c r="R28"/>
      <c r="S28"/>
      <c r="T28"/>
      <c r="U28"/>
      <c r="V28"/>
      <c r="W28" s="15"/>
      <c r="X28" s="15"/>
      <c r="Y28" s="15"/>
      <c r="Z28"/>
      <c r="AA28"/>
      <c r="AB28"/>
      <c r="AC28"/>
      <c r="AD28"/>
      <c r="AE28"/>
      <c r="AF28" s="90"/>
      <c r="AG28" s="90"/>
    </row>
    <row r="29" spans="1:33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5"/>
      <c r="R29"/>
      <c r="S29" s="91"/>
      <c r="T29"/>
      <c r="U29"/>
      <c r="V29"/>
      <c r="W29" s="15"/>
      <c r="X29" s="15"/>
      <c r="Y29" s="15"/>
      <c r="Z29" s="91"/>
      <c r="AA29"/>
      <c r="AB29"/>
      <c r="AC29"/>
      <c r="AD29" s="92"/>
      <c r="AE29" s="1"/>
      <c r="AF29" s="90"/>
      <c r="AG29" s="90"/>
    </row>
    <row r="30" spans="1:33" s="33" customFormat="1" ht="24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9"/>
      <c r="R30"/>
      <c r="S30" s="10"/>
      <c r="T30"/>
      <c r="U30"/>
      <c r="V30"/>
      <c r="W30" s="15"/>
      <c r="X30" s="93"/>
      <c r="Y30" s="93"/>
      <c r="Z30" s="91"/>
      <c r="AA30"/>
      <c r="AB30"/>
      <c r="AC30"/>
      <c r="AD30" s="92"/>
      <c r="AE30"/>
      <c r="AF30" s="90"/>
      <c r="AG30" s="90"/>
    </row>
    <row r="31" spans="1:33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/>
      <c r="Q31"/>
      <c r="R31"/>
      <c r="S31" s="10"/>
      <c r="T31"/>
      <c r="U31"/>
      <c r="V31"/>
      <c r="W31"/>
      <c r="X31" s="94"/>
      <c r="Y31" s="94"/>
      <c r="Z31" s="15"/>
      <c r="AA31"/>
      <c r="AB31"/>
      <c r="AC31"/>
      <c r="AD31" s="92"/>
      <c r="AE31" s="4"/>
      <c r="AF31" s="32"/>
      <c r="AG31" s="32"/>
    </row>
    <row r="32" spans="1:33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/>
      <c r="Q32"/>
      <c r="R32"/>
      <c r="S32"/>
      <c r="T32"/>
      <c r="U32"/>
      <c r="V32"/>
      <c r="W32" s="15"/>
      <c r="X32" s="15"/>
      <c r="Y32" s="15"/>
      <c r="Z32" s="15"/>
      <c r="AA32" s="96"/>
      <c r="AB32" s="96"/>
      <c r="AC32" s="97"/>
      <c r="AD32"/>
      <c r="AE32" s="1"/>
      <c r="AF32" s="32"/>
      <c r="AG32" s="32"/>
    </row>
    <row r="33" spans="1:17" s="59" customFormat="1" ht="26.25" customHeight="1" x14ac:dyDescent="0.2">
      <c r="A33" s="49"/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/>
      <c r="Q33"/>
    </row>
    <row r="34" spans="1:17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</row>
    <row r="35" spans="1:17" s="59" customFormat="1" ht="22.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7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</row>
    <row r="37" spans="1:17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</row>
    <row r="38" spans="1:17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</row>
    <row r="39" spans="1:17" ht="24.75" customHeight="1" x14ac:dyDescent="0.2">
      <c r="A39" s="18" t="s">
        <v>126</v>
      </c>
      <c r="B39" s="18"/>
      <c r="C39" s="9"/>
      <c r="D39" s="60"/>
    </row>
  </sheetData>
  <mergeCells count="10">
    <mergeCell ref="A1:G3"/>
    <mergeCell ref="P4:Q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Q3" r:id="rId1" xr:uid="{D3C0BE8E-1E3D-48AE-9A37-505054459F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44"/>
  <sheetViews>
    <sheetView showGridLines="0" showOutlineSymbols="0" topLeftCell="K4" zoomScale="55" zoomScaleNormal="59" workbookViewId="0">
      <selection activeCell="D26" sqref="D26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258">
        <v>43525</v>
      </c>
      <c r="R4" s="259"/>
    </row>
    <row r="5" spans="1:18" ht="24" customHeight="1" x14ac:dyDescent="0.2">
      <c r="A5" s="260" t="s">
        <v>27</v>
      </c>
      <c r="B5" s="260"/>
      <c r="C5" s="260"/>
      <c r="D5" s="58"/>
    </row>
    <row r="6" spans="1:18" s="13" customFormat="1" ht="24" customHeight="1" x14ac:dyDescent="0.2">
      <c r="A6" s="260"/>
      <c r="B6" s="260"/>
      <c r="C6" s="260"/>
      <c r="D6" s="39" t="s">
        <v>32</v>
      </c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79" t="s">
        <v>8</v>
      </c>
      <c r="O9" s="80" t="s">
        <v>9</v>
      </c>
      <c r="P9" s="110" t="s">
        <v>10</v>
      </c>
    </row>
    <row r="10" spans="1:18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53</v>
      </c>
      <c r="B11" s="68"/>
      <c r="C11" s="76" t="s">
        <v>54</v>
      </c>
      <c r="D11" s="70">
        <v>43528</v>
      </c>
      <c r="E11" s="98" t="s">
        <v>39</v>
      </c>
      <c r="F11" s="99" t="s">
        <v>33</v>
      </c>
      <c r="G11" s="53">
        <f>D11-4</f>
        <v>43524</v>
      </c>
      <c r="H11" s="74" t="s">
        <v>33</v>
      </c>
      <c r="I11" s="104">
        <v>43528</v>
      </c>
      <c r="J11" s="98" t="s">
        <v>49</v>
      </c>
      <c r="K11" s="111">
        <f>I11-4</f>
        <v>43524</v>
      </c>
      <c r="L11" s="102"/>
      <c r="M11" s="85">
        <v>43532</v>
      </c>
      <c r="N11" s="105">
        <v>43561</v>
      </c>
      <c r="O11" s="85">
        <f t="shared" ref="O11:O17" si="0">N11+6</f>
        <v>43567</v>
      </c>
      <c r="P11" s="86">
        <f t="shared" ref="P11:P18" si="1">N11+7</f>
        <v>43568</v>
      </c>
      <c r="Q11" s="72" t="s">
        <v>29</v>
      </c>
    </row>
    <row r="12" spans="1:18" ht="26.1" customHeight="1" x14ac:dyDescent="0.2">
      <c r="A12" s="89" t="s">
        <v>56</v>
      </c>
      <c r="B12" s="68"/>
      <c r="C12" s="69" t="s">
        <v>58</v>
      </c>
      <c r="D12" s="70">
        <v>43529</v>
      </c>
      <c r="E12" s="98" t="s">
        <v>49</v>
      </c>
      <c r="F12" s="99" t="s">
        <v>33</v>
      </c>
      <c r="G12" s="53">
        <f>D12-4</f>
        <v>43525</v>
      </c>
      <c r="H12" s="74" t="s">
        <v>33</v>
      </c>
      <c r="I12" s="104">
        <v>43530</v>
      </c>
      <c r="J12" s="98" t="s">
        <v>40</v>
      </c>
      <c r="K12" s="112">
        <f>I12-2</f>
        <v>43528</v>
      </c>
      <c r="L12" s="103"/>
      <c r="M12" s="85">
        <v>43534</v>
      </c>
      <c r="N12" s="105">
        <v>43561</v>
      </c>
      <c r="O12" s="85">
        <f t="shared" si="0"/>
        <v>43567</v>
      </c>
      <c r="P12" s="86">
        <f t="shared" si="1"/>
        <v>43568</v>
      </c>
      <c r="Q12" s="72" t="s">
        <v>28</v>
      </c>
    </row>
    <row r="13" spans="1:18" ht="26.1" customHeight="1" x14ac:dyDescent="0.2">
      <c r="A13" s="89" t="s">
        <v>57</v>
      </c>
      <c r="B13" s="68"/>
      <c r="C13" s="69" t="s">
        <v>73</v>
      </c>
      <c r="D13" s="70">
        <v>43532</v>
      </c>
      <c r="E13" s="98" t="s">
        <v>41</v>
      </c>
      <c r="F13" s="99"/>
      <c r="G13" s="53">
        <f>D13-2</f>
        <v>43530</v>
      </c>
      <c r="H13" s="74"/>
      <c r="I13" s="104">
        <v>43532</v>
      </c>
      <c r="J13" s="98" t="s">
        <v>41</v>
      </c>
      <c r="K13" s="112">
        <f>I13-2</f>
        <v>43530</v>
      </c>
      <c r="L13" s="103"/>
      <c r="M13" s="85">
        <v>43535</v>
      </c>
      <c r="N13" s="105">
        <v>43562</v>
      </c>
      <c r="O13" s="85">
        <f t="shared" si="0"/>
        <v>43568</v>
      </c>
      <c r="P13" s="86">
        <f t="shared" si="1"/>
        <v>43569</v>
      </c>
      <c r="Q13" s="72"/>
    </row>
    <row r="14" spans="1:18" ht="26.1" customHeight="1" x14ac:dyDescent="0.2">
      <c r="A14" s="89" t="s">
        <v>53</v>
      </c>
      <c r="B14" s="68"/>
      <c r="C14" s="69" t="s">
        <v>59</v>
      </c>
      <c r="D14" s="70">
        <v>43535</v>
      </c>
      <c r="E14" s="98" t="s">
        <v>42</v>
      </c>
      <c r="F14" s="99"/>
      <c r="G14" s="53">
        <f>D14-4</f>
        <v>43531</v>
      </c>
      <c r="H14" s="74"/>
      <c r="I14" s="104">
        <v>43535</v>
      </c>
      <c r="J14" s="98" t="s">
        <v>60</v>
      </c>
      <c r="K14" s="113">
        <f>I14-4</f>
        <v>43531</v>
      </c>
      <c r="L14" s="102"/>
      <c r="M14" s="85">
        <v>43539</v>
      </c>
      <c r="N14" s="105">
        <v>43568</v>
      </c>
      <c r="O14" s="85">
        <f t="shared" si="0"/>
        <v>43574</v>
      </c>
      <c r="P14" s="86">
        <f t="shared" si="1"/>
        <v>43575</v>
      </c>
      <c r="Q14" s="72"/>
    </row>
    <row r="15" spans="1:18" ht="26.1" customHeight="1" x14ac:dyDescent="0.2">
      <c r="A15" s="89" t="s">
        <v>56</v>
      </c>
      <c r="B15" s="68"/>
      <c r="C15" s="69" t="s">
        <v>61</v>
      </c>
      <c r="D15" s="70">
        <v>43536</v>
      </c>
      <c r="E15" s="98" t="s">
        <v>60</v>
      </c>
      <c r="F15" s="99"/>
      <c r="G15" s="53">
        <f>D15-4</f>
        <v>43532</v>
      </c>
      <c r="H15" s="74"/>
      <c r="I15" s="104">
        <v>43537</v>
      </c>
      <c r="J15" s="98" t="s">
        <v>43</v>
      </c>
      <c r="K15" s="112">
        <f>I15-2</f>
        <v>43535</v>
      </c>
      <c r="L15" s="74"/>
      <c r="M15" s="85">
        <v>43541</v>
      </c>
      <c r="N15" s="105">
        <v>43568</v>
      </c>
      <c r="O15" s="85">
        <f t="shared" si="0"/>
        <v>43574</v>
      </c>
      <c r="P15" s="86">
        <f t="shared" si="1"/>
        <v>43575</v>
      </c>
      <c r="Q15" s="72"/>
    </row>
    <row r="16" spans="1:18" ht="26.1" customHeight="1" x14ac:dyDescent="0.2">
      <c r="A16" s="89" t="s">
        <v>57</v>
      </c>
      <c r="B16" s="68"/>
      <c r="C16" s="69" t="s">
        <v>74</v>
      </c>
      <c r="D16" s="70">
        <v>43539</v>
      </c>
      <c r="E16" s="98" t="s">
        <v>44</v>
      </c>
      <c r="F16" s="99"/>
      <c r="G16" s="53">
        <f>D16-2</f>
        <v>43537</v>
      </c>
      <c r="H16" s="74"/>
      <c r="I16" s="104">
        <v>43539</v>
      </c>
      <c r="J16" s="98" t="s">
        <v>44</v>
      </c>
      <c r="K16" s="113">
        <f>D16-2</f>
        <v>43537</v>
      </c>
      <c r="L16" s="74"/>
      <c r="M16" s="85">
        <v>43542</v>
      </c>
      <c r="N16" s="105">
        <v>43569</v>
      </c>
      <c r="O16" s="85">
        <f t="shared" si="0"/>
        <v>43575</v>
      </c>
      <c r="P16" s="86">
        <f t="shared" si="1"/>
        <v>43576</v>
      </c>
      <c r="Q16" s="72"/>
    </row>
    <row r="17" spans="1:34" ht="26.1" customHeight="1" x14ac:dyDescent="0.2">
      <c r="A17" s="89" t="s">
        <v>53</v>
      </c>
      <c r="B17" s="68"/>
      <c r="C17" s="69" t="s">
        <v>62</v>
      </c>
      <c r="D17" s="70">
        <v>43542</v>
      </c>
      <c r="E17" s="98" t="s">
        <v>45</v>
      </c>
      <c r="F17" s="99"/>
      <c r="G17" s="53">
        <f>D17-4</f>
        <v>43538</v>
      </c>
      <c r="H17" s="74"/>
      <c r="I17" s="104">
        <v>43542</v>
      </c>
      <c r="J17" s="98" t="s">
        <v>63</v>
      </c>
      <c r="K17" s="113">
        <f>I17-4</f>
        <v>43538</v>
      </c>
      <c r="L17" s="74"/>
      <c r="M17" s="85">
        <v>43546</v>
      </c>
      <c r="N17" s="105">
        <v>43575</v>
      </c>
      <c r="O17" s="85">
        <f t="shared" si="0"/>
        <v>43581</v>
      </c>
      <c r="P17" s="86">
        <f t="shared" si="1"/>
        <v>43582</v>
      </c>
      <c r="Q17" s="72"/>
    </row>
    <row r="18" spans="1:34" ht="26.1" customHeight="1" x14ac:dyDescent="0.2">
      <c r="A18" s="89" t="s">
        <v>64</v>
      </c>
      <c r="B18" s="68"/>
      <c r="C18" s="69" t="s">
        <v>65</v>
      </c>
      <c r="D18" s="70">
        <v>43543</v>
      </c>
      <c r="E18" s="98" t="s">
        <v>63</v>
      </c>
      <c r="F18" s="99"/>
      <c r="G18" s="53">
        <f>D18-4</f>
        <v>43539</v>
      </c>
      <c r="H18" s="74"/>
      <c r="I18" s="104">
        <v>43544</v>
      </c>
      <c r="J18" s="98" t="s">
        <v>30</v>
      </c>
      <c r="K18" s="112">
        <f>I18-2</f>
        <v>43542</v>
      </c>
      <c r="L18" s="74"/>
      <c r="M18" s="85">
        <v>43548</v>
      </c>
      <c r="N18" s="105">
        <v>43575</v>
      </c>
      <c r="O18" s="85">
        <v>43574</v>
      </c>
      <c r="P18" s="86">
        <f t="shared" si="1"/>
        <v>43582</v>
      </c>
      <c r="Q18" s="72"/>
    </row>
    <row r="19" spans="1:34" ht="26.1" customHeight="1" x14ac:dyDescent="0.2">
      <c r="A19" s="89" t="s">
        <v>57</v>
      </c>
      <c r="B19" s="68"/>
      <c r="C19" s="69" t="s">
        <v>75</v>
      </c>
      <c r="D19" s="70">
        <v>43546</v>
      </c>
      <c r="E19" s="98" t="s">
        <v>31</v>
      </c>
      <c r="F19" s="99"/>
      <c r="G19" s="53">
        <f>D19-3</f>
        <v>43543</v>
      </c>
      <c r="H19" s="74"/>
      <c r="I19" s="104">
        <v>43546</v>
      </c>
      <c r="J19" s="98" t="s">
        <v>31</v>
      </c>
      <c r="K19" s="112">
        <f>D19-3</f>
        <v>43543</v>
      </c>
      <c r="L19" s="74"/>
      <c r="M19" s="85">
        <v>43549</v>
      </c>
      <c r="N19" s="105">
        <v>43576</v>
      </c>
      <c r="O19" s="85">
        <f t="shared" ref="O19:O25" si="2">N19+6</f>
        <v>43582</v>
      </c>
      <c r="P19" s="86">
        <f t="shared" ref="P19:P25" si="3">N19+7</f>
        <v>43583</v>
      </c>
      <c r="Q19" s="72"/>
    </row>
    <row r="20" spans="1:34" ht="26.1" customHeight="1" x14ac:dyDescent="0.2">
      <c r="A20" s="89" t="s">
        <v>53</v>
      </c>
      <c r="B20" s="68"/>
      <c r="C20" s="69" t="s">
        <v>66</v>
      </c>
      <c r="D20" s="70">
        <v>43549</v>
      </c>
      <c r="E20" s="98" t="s">
        <v>37</v>
      </c>
      <c r="F20" s="99"/>
      <c r="G20" s="53">
        <f>D20-5</f>
        <v>43544</v>
      </c>
      <c r="H20" s="74"/>
      <c r="I20" s="104">
        <v>43549</v>
      </c>
      <c r="J20" s="98" t="s">
        <v>69</v>
      </c>
      <c r="K20" s="112">
        <f>D20-5</f>
        <v>43544</v>
      </c>
      <c r="L20" s="74"/>
      <c r="M20" s="85">
        <v>43553</v>
      </c>
      <c r="N20" s="105">
        <v>43582</v>
      </c>
      <c r="O20" s="85">
        <f t="shared" si="2"/>
        <v>43588</v>
      </c>
      <c r="P20" s="86">
        <f t="shared" si="3"/>
        <v>43589</v>
      </c>
      <c r="Q20" s="72"/>
    </row>
    <row r="21" spans="1:34" ht="26.1" customHeight="1" x14ac:dyDescent="0.2">
      <c r="A21" s="89" t="s">
        <v>64</v>
      </c>
      <c r="B21" s="68"/>
      <c r="C21" s="69" t="s">
        <v>68</v>
      </c>
      <c r="D21" s="70">
        <v>43550</v>
      </c>
      <c r="E21" s="98" t="s">
        <v>69</v>
      </c>
      <c r="F21" s="99"/>
      <c r="G21" s="53">
        <f>D21-4</f>
        <v>43546</v>
      </c>
      <c r="H21" s="74"/>
      <c r="I21" s="104">
        <v>43551</v>
      </c>
      <c r="J21" s="98" t="s">
        <v>38</v>
      </c>
      <c r="K21" s="112">
        <f>I21-2</f>
        <v>43549</v>
      </c>
      <c r="L21" s="74"/>
      <c r="M21" s="85">
        <v>43555</v>
      </c>
      <c r="N21" s="105">
        <v>43582</v>
      </c>
      <c r="O21" s="85">
        <f t="shared" si="2"/>
        <v>43588</v>
      </c>
      <c r="P21" s="86">
        <f t="shared" si="3"/>
        <v>43589</v>
      </c>
      <c r="Q21" s="72"/>
    </row>
    <row r="22" spans="1:34" ht="26.1" customHeight="1" x14ac:dyDescent="0.2">
      <c r="A22" s="89" t="s">
        <v>57</v>
      </c>
      <c r="B22" s="68"/>
      <c r="C22" s="69" t="s">
        <v>71</v>
      </c>
      <c r="D22" s="70">
        <v>43553</v>
      </c>
      <c r="E22" s="98" t="s">
        <v>46</v>
      </c>
      <c r="F22" s="99" t="s">
        <v>33</v>
      </c>
      <c r="G22" s="53">
        <f>D22-2</f>
        <v>43551</v>
      </c>
      <c r="H22" s="74" t="s">
        <v>33</v>
      </c>
      <c r="I22" s="104">
        <v>43553</v>
      </c>
      <c r="J22" s="98" t="s">
        <v>46</v>
      </c>
      <c r="K22" s="112">
        <f>I22-2</f>
        <v>43551</v>
      </c>
      <c r="L22" s="74"/>
      <c r="M22" s="85">
        <v>43556</v>
      </c>
      <c r="N22" s="105">
        <v>43583</v>
      </c>
      <c r="O22" s="85">
        <f t="shared" si="2"/>
        <v>43589</v>
      </c>
      <c r="P22" s="86">
        <f t="shared" si="3"/>
        <v>43590</v>
      </c>
      <c r="Q22" s="72" t="s">
        <v>28</v>
      </c>
    </row>
    <row r="23" spans="1:34" ht="26.1" customHeight="1" x14ac:dyDescent="0.2">
      <c r="A23" s="89" t="s">
        <v>53</v>
      </c>
      <c r="B23" s="68"/>
      <c r="C23" s="69" t="s">
        <v>70</v>
      </c>
      <c r="D23" s="70">
        <v>43556</v>
      </c>
      <c r="E23" s="98" t="s">
        <v>47</v>
      </c>
      <c r="F23" s="99" t="s">
        <v>33</v>
      </c>
      <c r="G23" s="53">
        <f>D23-4</f>
        <v>43552</v>
      </c>
      <c r="H23" s="74" t="s">
        <v>33</v>
      </c>
      <c r="I23" s="104">
        <v>43556</v>
      </c>
      <c r="J23" s="98" t="s">
        <v>67</v>
      </c>
      <c r="K23" s="112">
        <f>D23-4</f>
        <v>43552</v>
      </c>
      <c r="L23" s="74"/>
      <c r="M23" s="85">
        <v>43560</v>
      </c>
      <c r="N23" s="105">
        <v>43589</v>
      </c>
      <c r="O23" s="85">
        <f t="shared" si="2"/>
        <v>43595</v>
      </c>
      <c r="P23" s="86">
        <f t="shared" si="3"/>
        <v>43596</v>
      </c>
      <c r="Q23" s="72" t="s">
        <v>28</v>
      </c>
    </row>
    <row r="24" spans="1:34" ht="26.1" customHeight="1" x14ac:dyDescent="0.2">
      <c r="A24" s="89" t="s">
        <v>64</v>
      </c>
      <c r="B24" s="68"/>
      <c r="C24" s="69" t="s">
        <v>72</v>
      </c>
      <c r="D24" s="70">
        <v>43557</v>
      </c>
      <c r="E24" s="98" t="s">
        <v>67</v>
      </c>
      <c r="F24" s="99" t="s">
        <v>33</v>
      </c>
      <c r="G24" s="53">
        <f>D24-4</f>
        <v>43553</v>
      </c>
      <c r="H24" s="74" t="s">
        <v>33</v>
      </c>
      <c r="I24" s="104">
        <v>43558</v>
      </c>
      <c r="J24" s="98" t="s">
        <v>48</v>
      </c>
      <c r="K24" s="112">
        <f>I24-2</f>
        <v>43556</v>
      </c>
      <c r="L24" s="74"/>
      <c r="M24" s="85">
        <v>43562</v>
      </c>
      <c r="N24" s="105">
        <v>43589</v>
      </c>
      <c r="O24" s="85">
        <f t="shared" si="2"/>
        <v>43595</v>
      </c>
      <c r="P24" s="86">
        <f t="shared" si="3"/>
        <v>43596</v>
      </c>
      <c r="Q24" s="72"/>
    </row>
    <row r="25" spans="1:34" ht="25.5" customHeight="1" x14ac:dyDescent="0.2">
      <c r="A25" s="89" t="s">
        <v>57</v>
      </c>
      <c r="B25" s="68"/>
      <c r="C25" s="69" t="s">
        <v>76</v>
      </c>
      <c r="D25" s="70">
        <v>43560</v>
      </c>
      <c r="E25" s="98" t="s">
        <v>49</v>
      </c>
      <c r="F25" s="99" t="s">
        <v>33</v>
      </c>
      <c r="G25" s="53">
        <f>D25-2</f>
        <v>43558</v>
      </c>
      <c r="H25" s="74" t="s">
        <v>33</v>
      </c>
      <c r="I25" s="104">
        <v>43560</v>
      </c>
      <c r="J25" s="98" t="s">
        <v>49</v>
      </c>
      <c r="K25" s="112">
        <f>D25-2</f>
        <v>43558</v>
      </c>
      <c r="L25" s="74"/>
      <c r="M25" s="85">
        <v>43563</v>
      </c>
      <c r="N25" s="105">
        <v>43590</v>
      </c>
      <c r="O25" s="85">
        <f t="shared" si="2"/>
        <v>43596</v>
      </c>
      <c r="P25" s="86">
        <f t="shared" si="3"/>
        <v>43597</v>
      </c>
      <c r="Q25" s="72"/>
    </row>
    <row r="26" spans="1:34" ht="26.25" customHeight="1" x14ac:dyDescent="0.2">
      <c r="A26" s="67"/>
      <c r="B26" s="18"/>
      <c r="C26" s="9"/>
      <c r="D26" s="54"/>
      <c r="E26" s="55"/>
      <c r="F26" s="78"/>
      <c r="G26" s="54"/>
      <c r="H26" s="75"/>
      <c r="I26" s="75"/>
      <c r="J26" s="75"/>
      <c r="K26" s="75"/>
      <c r="L26" s="75"/>
      <c r="M26" s="75"/>
      <c r="N26" s="54"/>
      <c r="O26" s="54"/>
      <c r="P26" s="54"/>
      <c r="Q26" s="72"/>
    </row>
    <row r="27" spans="1:34" ht="26.25" customHeight="1" x14ac:dyDescent="0.2">
      <c r="A27" s="15" t="s">
        <v>50</v>
      </c>
      <c r="B27" s="15"/>
      <c r="J27" s="90"/>
      <c r="K27" s="90"/>
      <c r="L27" s="54"/>
      <c r="M27" s="54"/>
      <c r="N27" s="54" t="s">
        <v>85</v>
      </c>
      <c r="O27" s="108" t="s">
        <v>86</v>
      </c>
      <c r="P27" s="54"/>
      <c r="Q27" s="72"/>
    </row>
    <row r="28" spans="1:34" ht="26.25" customHeight="1" x14ac:dyDescent="0.2">
      <c r="A28" s="15"/>
      <c r="B28" s="92" t="s">
        <v>77</v>
      </c>
      <c r="C28" s="91" t="s">
        <v>78</v>
      </c>
      <c r="G28" s="92"/>
      <c r="H28" s="1"/>
      <c r="I28" s="114" t="s">
        <v>82</v>
      </c>
      <c r="K28" s="115" t="s">
        <v>83</v>
      </c>
      <c r="L28" s="108"/>
      <c r="M28" s="108"/>
      <c r="N28" s="54"/>
      <c r="O28" s="115" t="s">
        <v>87</v>
      </c>
      <c r="P28" s="108"/>
      <c r="Q28" s="108"/>
    </row>
    <row r="29" spans="1:34" s="2" customFormat="1" ht="26.25" customHeight="1" x14ac:dyDescent="0.2">
      <c r="A29" s="93"/>
      <c r="B29" s="93"/>
      <c r="C29" s="91" t="s">
        <v>79</v>
      </c>
      <c r="D29"/>
      <c r="E29"/>
      <c r="F29"/>
      <c r="G29" s="92"/>
      <c r="H29"/>
      <c r="I29" s="10"/>
      <c r="J29" s="108"/>
      <c r="K29" s="10" t="s">
        <v>88</v>
      </c>
      <c r="L29" s="108"/>
      <c r="M29" s="108"/>
      <c r="N29" s="10"/>
      <c r="O29" s="10" t="s">
        <v>89</v>
      </c>
      <c r="P29" s="108"/>
      <c r="Q29" s="108"/>
      <c r="R29"/>
    </row>
    <row r="30" spans="1:34" s="33" customFormat="1" ht="26.25" customHeight="1" x14ac:dyDescent="0.2">
      <c r="A30" s="94"/>
      <c r="B30" s="94"/>
      <c r="C30" s="15" t="s">
        <v>80</v>
      </c>
      <c r="D30"/>
      <c r="E30"/>
      <c r="F30"/>
      <c r="G30" s="92"/>
      <c r="H30" s="4"/>
      <c r="I30" s="10"/>
      <c r="J30" s="15"/>
      <c r="K30" s="116" t="s">
        <v>84</v>
      </c>
      <c r="L30" s="15"/>
      <c r="M30" s="15"/>
      <c r="N30" s="109"/>
      <c r="O30" s="116" t="s">
        <v>90</v>
      </c>
      <c r="P30" s="15"/>
      <c r="Q30" s="15"/>
      <c r="R30"/>
      <c r="S30"/>
      <c r="T30"/>
      <c r="U30"/>
      <c r="V30"/>
      <c r="W30"/>
      <c r="X30" s="15"/>
      <c r="Y30" s="15"/>
      <c r="Z30" s="15"/>
      <c r="AA30"/>
      <c r="AB30"/>
      <c r="AC30"/>
      <c r="AD30"/>
      <c r="AE30"/>
      <c r="AF30"/>
      <c r="AG30" s="90"/>
      <c r="AH30" s="90"/>
    </row>
    <row r="31" spans="1:34" s="33" customFormat="1" ht="26.25" customHeight="1" x14ac:dyDescent="0.2">
      <c r="A31" s="15"/>
      <c r="B31" s="15"/>
      <c r="C31" s="15" t="s">
        <v>81</v>
      </c>
      <c r="D31" s="96"/>
      <c r="E31" s="96"/>
      <c r="F31" s="97"/>
      <c r="G31"/>
      <c r="H31" s="1"/>
      <c r="I31" s="10"/>
      <c r="J31" s="15"/>
      <c r="K31" s="15" t="s">
        <v>14</v>
      </c>
      <c r="L31" s="15"/>
      <c r="M31" s="15"/>
      <c r="N31" s="109"/>
      <c r="O31" s="15" t="s">
        <v>91</v>
      </c>
      <c r="P31" s="15"/>
      <c r="Q31" s="15"/>
      <c r="R31" s="5"/>
      <c r="S31"/>
      <c r="T31" s="91"/>
      <c r="U31"/>
      <c r="V31"/>
      <c r="W31"/>
      <c r="X31" s="15"/>
      <c r="Y31" s="15"/>
      <c r="Z31" s="15"/>
      <c r="AA31" s="91"/>
      <c r="AB31"/>
      <c r="AC31"/>
      <c r="AD31"/>
      <c r="AE31" s="92"/>
      <c r="AF31" s="1"/>
      <c r="AG31" s="90"/>
      <c r="AH31" s="90"/>
    </row>
    <row r="32" spans="1:34" s="33" customFormat="1" ht="26.2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6"/>
      <c r="P32" s="19"/>
      <c r="S32"/>
      <c r="T32" s="10"/>
      <c r="U32"/>
      <c r="V32"/>
      <c r="W32"/>
      <c r="X32" s="15"/>
      <c r="Y32" s="93"/>
      <c r="Z32" s="93"/>
      <c r="AA32" s="91"/>
      <c r="AB32"/>
      <c r="AC32"/>
      <c r="AD32"/>
      <c r="AE32" s="92"/>
      <c r="AF32"/>
      <c r="AG32" s="90"/>
      <c r="AH32" s="90"/>
    </row>
    <row r="33" spans="1:34" s="33" customFormat="1" ht="26.25" customHeight="1" x14ac:dyDescent="0.2">
      <c r="A33" s="42" t="s">
        <v>1</v>
      </c>
      <c r="B33" s="43"/>
      <c r="C33" s="44"/>
      <c r="D33" s="45"/>
      <c r="E33" s="45"/>
      <c r="F33" s="45"/>
      <c r="G33" s="45"/>
      <c r="H33" s="51"/>
      <c r="I33" s="20"/>
      <c r="J33" s="20"/>
      <c r="K33" s="20"/>
      <c r="L33" s="20"/>
      <c r="M33" s="20"/>
      <c r="N33" s="14"/>
      <c r="O33" s="15"/>
      <c r="P33" s="15"/>
      <c r="Q33"/>
      <c r="R33"/>
      <c r="S33"/>
      <c r="T33" s="10"/>
      <c r="U33"/>
      <c r="V33"/>
      <c r="W33"/>
      <c r="X33"/>
      <c r="Y33" s="94"/>
      <c r="Z33" s="94"/>
      <c r="AA33" s="15"/>
      <c r="AB33"/>
      <c r="AC33"/>
      <c r="AD33"/>
      <c r="AE33" s="92"/>
      <c r="AF33" s="4"/>
      <c r="AG33" s="32"/>
      <c r="AH33" s="32"/>
    </row>
    <row r="34" spans="1:34" s="59" customFormat="1" ht="26.25" customHeight="1" x14ac:dyDescent="0.2">
      <c r="A34" s="106" t="s">
        <v>18</v>
      </c>
      <c r="B34" s="2"/>
      <c r="C34" s="2"/>
      <c r="D34" s="46"/>
      <c r="E34" s="2" t="s">
        <v>33</v>
      </c>
      <c r="F34" s="29"/>
      <c r="G34" s="46"/>
      <c r="H34" s="52"/>
      <c r="I34" s="2"/>
      <c r="J34" s="2"/>
      <c r="K34" s="2"/>
      <c r="L34" s="2"/>
      <c r="M34" s="2"/>
      <c r="N34" s="15"/>
      <c r="O34" s="15"/>
      <c r="P34" s="15"/>
      <c r="Q34"/>
      <c r="R34"/>
      <c r="S34"/>
      <c r="T34"/>
      <c r="U34"/>
      <c r="V34"/>
      <c r="W34"/>
      <c r="X34" s="15"/>
      <c r="Y34" s="15"/>
      <c r="Z34" s="15"/>
      <c r="AA34" s="15"/>
      <c r="AB34" s="96"/>
      <c r="AC34" s="96"/>
      <c r="AD34" s="97"/>
      <c r="AE34"/>
      <c r="AF34" s="1"/>
      <c r="AG34" s="32"/>
      <c r="AH34" s="32"/>
    </row>
    <row r="35" spans="1:34" s="59" customFormat="1" ht="26.25" customHeight="1" x14ac:dyDescent="0.2">
      <c r="A35" s="49" t="s">
        <v>17</v>
      </c>
      <c r="B35" s="27"/>
      <c r="C35" s="28"/>
      <c r="D35" s="50" t="s">
        <v>33</v>
      </c>
      <c r="E35" s="2"/>
      <c r="F35" s="2"/>
      <c r="G35" s="29"/>
      <c r="H35" s="52"/>
      <c r="I35" s="2"/>
      <c r="J35" s="2"/>
      <c r="K35" s="2"/>
      <c r="L35" s="2"/>
      <c r="M35" s="2"/>
      <c r="O35" s="15"/>
      <c r="P35" s="15"/>
      <c r="Q35"/>
      <c r="R35"/>
    </row>
    <row r="36" spans="1:34" s="59" customFormat="1" ht="26.25" customHeight="1" x14ac:dyDescent="0.2">
      <c r="A36" s="107"/>
      <c r="B36" s="2"/>
      <c r="C36" s="2"/>
      <c r="D36" s="29"/>
      <c r="E36" s="2"/>
      <c r="F36" s="2"/>
      <c r="G36" s="29"/>
      <c r="H36" s="52"/>
      <c r="I36" s="2"/>
      <c r="J36" s="2"/>
      <c r="K36" s="2"/>
      <c r="L36" s="2"/>
      <c r="M36" s="2"/>
      <c r="N36"/>
      <c r="O36"/>
      <c r="P36"/>
      <c r="Q36"/>
      <c r="R36"/>
    </row>
    <row r="37" spans="1:34" s="59" customFormat="1" ht="26.25" customHeight="1" x14ac:dyDescent="0.2">
      <c r="A37" s="62" t="s">
        <v>33</v>
      </c>
      <c r="B37" s="63"/>
      <c r="C37" s="64"/>
      <c r="D37" s="65"/>
      <c r="E37" s="47"/>
      <c r="F37" s="47"/>
      <c r="G37" s="66"/>
      <c r="H37" s="48"/>
      <c r="I37" s="2"/>
      <c r="J37" s="2"/>
      <c r="K37" s="2"/>
      <c r="L37" s="2"/>
      <c r="M37" s="2"/>
      <c r="N37" s="58"/>
      <c r="O37"/>
      <c r="P37"/>
    </row>
    <row r="38" spans="1:34" s="59" customFormat="1" ht="26.25" customHeight="1" x14ac:dyDescent="0.2">
      <c r="A38" s="18"/>
      <c r="B38" s="56"/>
      <c r="C38" s="22"/>
      <c r="D38" s="60"/>
      <c r="E38" s="61"/>
      <c r="F38" s="41"/>
      <c r="G38" s="60"/>
      <c r="H38" s="40"/>
      <c r="I38" s="40"/>
      <c r="J38" s="40"/>
      <c r="K38" s="40"/>
      <c r="L38" s="40"/>
      <c r="M38" s="40"/>
      <c r="N38" s="60"/>
    </row>
    <row r="39" spans="1:34" s="59" customFormat="1" ht="26.25" customHeight="1" x14ac:dyDescent="0.2">
      <c r="A39" s="58" t="s">
        <v>16</v>
      </c>
      <c r="B39" s="56"/>
      <c r="C39" s="22"/>
      <c r="D39" s="60"/>
      <c r="E39" s="61"/>
      <c r="F39" s="41"/>
      <c r="G39" s="60"/>
      <c r="N39" s="58"/>
      <c r="O39" s="34"/>
    </row>
    <row r="40" spans="1:34" s="59" customFormat="1" ht="26.25" customHeight="1" x14ac:dyDescent="0.2">
      <c r="A40" s="67"/>
      <c r="B40" s="18"/>
      <c r="C40" s="9"/>
      <c r="D40" s="60"/>
      <c r="E40" s="61"/>
      <c r="F40" s="41"/>
      <c r="G40" s="60"/>
      <c r="N40" s="58"/>
      <c r="O40" s="32"/>
    </row>
    <row r="41" spans="1:34" s="59" customFormat="1" ht="26.25" customHeight="1" x14ac:dyDescent="0.2">
      <c r="A41" s="18"/>
      <c r="B41" s="56"/>
      <c r="C41" s="22"/>
      <c r="D41" s="60"/>
      <c r="E41" s="61"/>
      <c r="F41" s="41"/>
      <c r="G41" s="60"/>
      <c r="N41" s="58"/>
      <c r="O41" s="32"/>
    </row>
    <row r="42" spans="1:34" s="59" customFormat="1" ht="26.25" customHeight="1" x14ac:dyDescent="0.2">
      <c r="A42" s="18"/>
      <c r="B42" s="18"/>
      <c r="C42" s="9"/>
      <c r="D42" s="60"/>
      <c r="E42" s="61"/>
      <c r="F42" s="41"/>
      <c r="G42" s="60"/>
      <c r="H42" s="40"/>
      <c r="I42" s="40"/>
      <c r="J42" s="40"/>
      <c r="K42" s="40"/>
      <c r="L42" s="40"/>
      <c r="M42" s="40"/>
      <c r="N42" s="60"/>
      <c r="O42" s="34"/>
    </row>
    <row r="43" spans="1:34" ht="26.25" customHeight="1" x14ac:dyDescent="0.2">
      <c r="A43" s="18"/>
      <c r="B43" s="56"/>
      <c r="C43" s="22"/>
      <c r="D43" s="60"/>
      <c r="E43" s="61"/>
      <c r="F43" s="41"/>
      <c r="G43" s="60"/>
      <c r="H43" s="40"/>
      <c r="I43" s="40"/>
      <c r="J43" s="40"/>
      <c r="K43" s="40"/>
      <c r="L43" s="40"/>
      <c r="M43" s="40"/>
      <c r="N43" s="60"/>
      <c r="O43" s="59"/>
      <c r="P43" s="59"/>
      <c r="Q43" s="59"/>
      <c r="R43" s="59"/>
    </row>
    <row r="44" spans="1:34" ht="21" x14ac:dyDescent="0.2">
      <c r="A44" s="67"/>
      <c r="B44" s="18"/>
      <c r="C44" s="9"/>
      <c r="D44" s="60"/>
      <c r="E44" s="61"/>
      <c r="F44" s="41"/>
      <c r="G44" s="60"/>
      <c r="H44" s="40"/>
      <c r="I44" s="40"/>
      <c r="J44" s="40"/>
      <c r="K44" s="40"/>
      <c r="L44" s="40"/>
      <c r="M44" s="40"/>
      <c r="N44" s="60"/>
      <c r="O44" s="59"/>
      <c r="P44" s="59"/>
      <c r="Q44" s="59"/>
      <c r="R44" s="59"/>
    </row>
  </sheetData>
  <mergeCells count="10">
    <mergeCell ref="A1:G3"/>
    <mergeCell ref="Q4:R4"/>
    <mergeCell ref="A5:C6"/>
    <mergeCell ref="D9:H9"/>
    <mergeCell ref="A10:B10"/>
    <mergeCell ref="D10:F10"/>
    <mergeCell ref="G10:H10"/>
    <mergeCell ref="I9:L9"/>
    <mergeCell ref="I10:J10"/>
    <mergeCell ref="K10:L10"/>
  </mergeCells>
  <phoneticPr fontId="2"/>
  <hyperlinks>
    <hyperlink ref="R3" r:id="rId1" xr:uid="{00000000-0004-0000-01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>
    <oddHeader>&amp;R(ME1)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8275-D353-4D37-BCAE-CF251D7191D0}">
  <dimension ref="A1:AG39"/>
  <sheetViews>
    <sheetView topLeftCell="H9" workbookViewId="0">
      <selection activeCell="M11" sqref="M11"/>
    </sheetView>
  </sheetViews>
  <sheetFormatPr defaultRowHeight="13.5" x14ac:dyDescent="0.15"/>
  <cols>
    <col min="1" max="1" width="18.625" customWidth="1"/>
    <col min="2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278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151">
        <v>44136</v>
      </c>
      <c r="P4" s="258">
        <v>43681</v>
      </c>
      <c r="Q4" s="259"/>
    </row>
    <row r="5" spans="1:17" ht="24" customHeight="1" x14ac:dyDescent="0.2">
      <c r="A5" s="260" t="s">
        <v>27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155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321</v>
      </c>
      <c r="B11" s="68"/>
      <c r="C11" s="69" t="s">
        <v>354</v>
      </c>
      <c r="D11" s="117" t="s">
        <v>240</v>
      </c>
      <c r="E11" s="98" t="s">
        <v>355</v>
      </c>
      <c r="F11" s="99"/>
      <c r="G11" s="53">
        <v>44162</v>
      </c>
      <c r="H11" s="74"/>
      <c r="I11" s="112" t="s">
        <v>240</v>
      </c>
      <c r="J11" s="98" t="s">
        <v>316</v>
      </c>
      <c r="K11" s="112">
        <v>44165</v>
      </c>
      <c r="L11" s="74"/>
      <c r="M11" s="145">
        <v>44171</v>
      </c>
      <c r="N11" s="146">
        <v>44166</v>
      </c>
      <c r="O11" s="147">
        <v>44173</v>
      </c>
      <c r="P11" s="72" t="s">
        <v>29</v>
      </c>
    </row>
    <row r="12" spans="1:17" ht="26.1" customHeight="1" x14ac:dyDescent="0.2">
      <c r="A12" s="89" t="s">
        <v>325</v>
      </c>
      <c r="B12" s="68"/>
      <c r="C12" s="69" t="s">
        <v>356</v>
      </c>
      <c r="D12" s="117" t="s">
        <v>240</v>
      </c>
      <c r="E12" s="98" t="s">
        <v>324</v>
      </c>
      <c r="F12" s="99"/>
      <c r="G12" s="53">
        <v>44167</v>
      </c>
      <c r="H12" s="74"/>
      <c r="I12" s="112" t="s">
        <v>240</v>
      </c>
      <c r="J12" s="98" t="s">
        <v>324</v>
      </c>
      <c r="K12" s="112">
        <v>44167</v>
      </c>
      <c r="L12" s="74"/>
      <c r="M12" s="145">
        <v>44172</v>
      </c>
      <c r="N12" s="146">
        <v>44168</v>
      </c>
      <c r="O12" s="147">
        <v>44175</v>
      </c>
      <c r="P12" s="72" t="s">
        <v>28</v>
      </c>
    </row>
    <row r="13" spans="1:17" ht="26.1" customHeight="1" x14ac:dyDescent="0.2">
      <c r="A13" s="89" t="s">
        <v>53</v>
      </c>
      <c r="B13" s="68"/>
      <c r="C13" s="69" t="s">
        <v>357</v>
      </c>
      <c r="D13" s="117" t="s">
        <v>240</v>
      </c>
      <c r="E13" s="98" t="s">
        <v>358</v>
      </c>
      <c r="F13" s="99"/>
      <c r="G13" s="53">
        <v>44168</v>
      </c>
      <c r="H13" s="74"/>
      <c r="I13" s="112" t="s">
        <v>240</v>
      </c>
      <c r="J13" s="98" t="s">
        <v>219</v>
      </c>
      <c r="K13" s="112">
        <v>44168</v>
      </c>
      <c r="L13" s="74"/>
      <c r="M13" s="145">
        <v>44176</v>
      </c>
      <c r="N13" s="146">
        <v>44169</v>
      </c>
      <c r="O13" s="147">
        <v>44176</v>
      </c>
      <c r="P13" s="72"/>
    </row>
    <row r="14" spans="1:17" ht="26.1" customHeight="1" x14ac:dyDescent="0.2">
      <c r="A14" s="89" t="s">
        <v>321</v>
      </c>
      <c r="B14" s="68"/>
      <c r="C14" s="69" t="s">
        <v>359</v>
      </c>
      <c r="D14" s="117" t="s">
        <v>240</v>
      </c>
      <c r="E14" s="98" t="s">
        <v>360</v>
      </c>
      <c r="F14" s="99"/>
      <c r="G14" s="53">
        <v>44169</v>
      </c>
      <c r="H14" s="74"/>
      <c r="I14" s="117" t="s">
        <v>240</v>
      </c>
      <c r="J14" s="98" t="s">
        <v>361</v>
      </c>
      <c r="K14" s="113">
        <v>44172</v>
      </c>
      <c r="L14" s="102"/>
      <c r="M14" s="145">
        <v>44178</v>
      </c>
      <c r="N14" s="146">
        <v>44173</v>
      </c>
      <c r="O14" s="147">
        <v>44180</v>
      </c>
      <c r="P14" s="72"/>
    </row>
    <row r="15" spans="1:17" ht="26.1" customHeight="1" x14ac:dyDescent="0.2">
      <c r="A15" s="89" t="s">
        <v>325</v>
      </c>
      <c r="B15" s="68"/>
      <c r="C15" s="69" t="s">
        <v>362</v>
      </c>
      <c r="D15" s="117" t="s">
        <v>240</v>
      </c>
      <c r="E15" s="98" t="s">
        <v>332</v>
      </c>
      <c r="F15" s="99"/>
      <c r="G15" s="53">
        <v>44174</v>
      </c>
      <c r="H15" s="74"/>
      <c r="I15" s="117" t="s">
        <v>240</v>
      </c>
      <c r="J15" s="98" t="s">
        <v>332</v>
      </c>
      <c r="K15" s="112">
        <v>44174</v>
      </c>
      <c r="L15" s="74"/>
      <c r="M15" s="145">
        <v>44179</v>
      </c>
      <c r="N15" s="146">
        <v>44175</v>
      </c>
      <c r="O15" s="147">
        <v>44182</v>
      </c>
      <c r="P15" s="72"/>
    </row>
    <row r="16" spans="1:17" ht="26.1" customHeight="1" x14ac:dyDescent="0.2">
      <c r="A16" s="89" t="s">
        <v>53</v>
      </c>
      <c r="B16" s="68"/>
      <c r="C16" s="69" t="s">
        <v>363</v>
      </c>
      <c r="D16" s="117" t="s">
        <v>240</v>
      </c>
      <c r="E16" s="98" t="s">
        <v>364</v>
      </c>
      <c r="F16" s="99"/>
      <c r="G16" s="53">
        <v>44175</v>
      </c>
      <c r="H16" s="74"/>
      <c r="I16" s="117" t="s">
        <v>240</v>
      </c>
      <c r="J16" s="98" t="s">
        <v>224</v>
      </c>
      <c r="K16" s="112">
        <v>44175</v>
      </c>
      <c r="L16" s="74"/>
      <c r="M16" s="145">
        <v>44183</v>
      </c>
      <c r="N16" s="146">
        <v>44176</v>
      </c>
      <c r="O16" s="147">
        <v>44183</v>
      </c>
      <c r="P16" s="72"/>
    </row>
    <row r="17" spans="1:33" ht="26.1" customHeight="1" x14ac:dyDescent="0.2">
      <c r="A17" s="89" t="s">
        <v>321</v>
      </c>
      <c r="B17" s="68"/>
      <c r="C17" s="69" t="s">
        <v>365</v>
      </c>
      <c r="D17" s="117" t="s">
        <v>240</v>
      </c>
      <c r="E17" s="98" t="s">
        <v>366</v>
      </c>
      <c r="F17" s="99"/>
      <c r="G17" s="53">
        <v>44176</v>
      </c>
      <c r="H17" s="74"/>
      <c r="I17" s="117" t="s">
        <v>240</v>
      </c>
      <c r="J17" s="98" t="s">
        <v>336</v>
      </c>
      <c r="K17" s="112">
        <v>44179</v>
      </c>
      <c r="L17" s="74"/>
      <c r="M17" s="145">
        <v>44185</v>
      </c>
      <c r="N17" s="146">
        <v>44180</v>
      </c>
      <c r="O17" s="147">
        <v>44187</v>
      </c>
      <c r="P17" s="72"/>
    </row>
    <row r="18" spans="1:33" ht="26.1" customHeight="1" x14ac:dyDescent="0.2">
      <c r="A18" s="89" t="s">
        <v>325</v>
      </c>
      <c r="B18" s="68"/>
      <c r="C18" s="69" t="s">
        <v>372</v>
      </c>
      <c r="D18" s="117" t="s">
        <v>240</v>
      </c>
      <c r="E18" s="98" t="s">
        <v>340</v>
      </c>
      <c r="F18" s="99"/>
      <c r="G18" s="53">
        <v>44181</v>
      </c>
      <c r="H18" s="74"/>
      <c r="I18" s="117" t="s">
        <v>240</v>
      </c>
      <c r="J18" s="98" t="s">
        <v>340</v>
      </c>
      <c r="K18" s="112">
        <v>44181</v>
      </c>
      <c r="L18" s="74"/>
      <c r="M18" s="145">
        <v>44186</v>
      </c>
      <c r="N18" s="146">
        <v>44182</v>
      </c>
      <c r="O18" s="147">
        <v>44189</v>
      </c>
      <c r="P18" s="72" t="s">
        <v>28</v>
      </c>
    </row>
    <row r="19" spans="1:33" ht="26.1" customHeight="1" x14ac:dyDescent="0.2">
      <c r="A19" s="89" t="s">
        <v>53</v>
      </c>
      <c r="B19" s="68"/>
      <c r="C19" s="69" t="s">
        <v>367</v>
      </c>
      <c r="D19" s="117" t="s">
        <v>240</v>
      </c>
      <c r="E19" s="98" t="s">
        <v>368</v>
      </c>
      <c r="F19" s="99"/>
      <c r="G19" s="53">
        <v>44182</v>
      </c>
      <c r="H19" s="74"/>
      <c r="I19" s="117" t="s">
        <v>240</v>
      </c>
      <c r="J19" s="98" t="s">
        <v>229</v>
      </c>
      <c r="K19" s="112">
        <v>44182</v>
      </c>
      <c r="L19" s="74"/>
      <c r="M19" s="145">
        <v>44190</v>
      </c>
      <c r="N19" s="146">
        <v>44183</v>
      </c>
      <c r="O19" s="147">
        <v>44190</v>
      </c>
      <c r="P19" s="72" t="s">
        <v>28</v>
      </c>
    </row>
    <row r="20" spans="1:33" ht="26.1" customHeight="1" x14ac:dyDescent="0.2">
      <c r="A20" s="89" t="s">
        <v>321</v>
      </c>
      <c r="B20" s="68"/>
      <c r="C20" s="69" t="s">
        <v>369</v>
      </c>
      <c r="D20" s="117" t="s">
        <v>240</v>
      </c>
      <c r="E20" s="98" t="s">
        <v>370</v>
      </c>
      <c r="F20" s="99"/>
      <c r="G20" s="53">
        <v>44183</v>
      </c>
      <c r="H20" s="74"/>
      <c r="I20" s="112" t="s">
        <v>240</v>
      </c>
      <c r="J20" s="98" t="s">
        <v>344</v>
      </c>
      <c r="K20" s="112">
        <v>44186</v>
      </c>
      <c r="L20" s="74"/>
      <c r="M20" s="145">
        <v>44192</v>
      </c>
      <c r="N20" s="146">
        <v>44187</v>
      </c>
      <c r="O20" s="147">
        <v>44194</v>
      </c>
      <c r="P20" s="72"/>
    </row>
    <row r="21" spans="1:33" ht="26.1" customHeight="1" x14ac:dyDescent="0.2">
      <c r="A21" s="89" t="s">
        <v>325</v>
      </c>
      <c r="B21" s="68"/>
      <c r="C21" s="69" t="s">
        <v>371</v>
      </c>
      <c r="D21" s="117" t="s">
        <v>240</v>
      </c>
      <c r="E21" s="98" t="s">
        <v>348</v>
      </c>
      <c r="F21" s="99"/>
      <c r="G21" s="53">
        <v>44188</v>
      </c>
      <c r="H21" s="74"/>
      <c r="I21" s="112" t="s">
        <v>240</v>
      </c>
      <c r="J21" s="98" t="s">
        <v>348</v>
      </c>
      <c r="K21" s="112">
        <v>44188</v>
      </c>
      <c r="L21" s="74"/>
      <c r="M21" s="145">
        <v>44164</v>
      </c>
      <c r="N21" s="146">
        <v>44189</v>
      </c>
      <c r="O21" s="147">
        <v>44196</v>
      </c>
      <c r="P21" s="72"/>
    </row>
    <row r="22" spans="1:33" ht="26.1" customHeight="1" x14ac:dyDescent="0.2">
      <c r="A22" s="89" t="s">
        <v>325</v>
      </c>
      <c r="B22" s="68"/>
      <c r="C22" s="69"/>
      <c r="D22" s="117" t="s">
        <v>210</v>
      </c>
      <c r="E22" s="98" t="s">
        <v>350</v>
      </c>
      <c r="F22" s="99"/>
      <c r="G22" s="53">
        <v>44160</v>
      </c>
      <c r="H22" s="74"/>
      <c r="I22" s="112" t="s">
        <v>210</v>
      </c>
      <c r="J22" s="98" t="s">
        <v>350</v>
      </c>
      <c r="K22" s="112">
        <v>44160</v>
      </c>
      <c r="L22" s="74"/>
      <c r="M22" s="145">
        <v>44165</v>
      </c>
      <c r="N22" s="146">
        <v>44190</v>
      </c>
      <c r="O22" s="147">
        <v>43831</v>
      </c>
      <c r="P22" s="72"/>
    </row>
    <row r="23" spans="1:33" ht="25.5" customHeight="1" x14ac:dyDescent="0.2">
      <c r="A23" s="153" t="s">
        <v>53</v>
      </c>
      <c r="B23" s="154"/>
      <c r="C23" s="69" t="s">
        <v>351</v>
      </c>
      <c r="D23" s="117" t="s">
        <v>210</v>
      </c>
      <c r="E23" s="98" t="s">
        <v>352</v>
      </c>
      <c r="F23" s="99"/>
      <c r="G23" s="53">
        <v>44161</v>
      </c>
      <c r="H23" s="74"/>
      <c r="I23" s="112" t="s">
        <v>210</v>
      </c>
      <c r="J23" s="98" t="s">
        <v>269</v>
      </c>
      <c r="K23" s="112">
        <v>44161</v>
      </c>
      <c r="L23" s="74"/>
      <c r="M23" s="145">
        <v>44169</v>
      </c>
      <c r="N23" s="146">
        <v>44194</v>
      </c>
      <c r="O23" s="147">
        <v>43835</v>
      </c>
      <c r="P23" s="72"/>
    </row>
    <row r="24" spans="1:33" ht="21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72"/>
    </row>
    <row r="25" spans="1:33" ht="26.25" customHeight="1" x14ac:dyDescent="0.2">
      <c r="A25" s="67"/>
      <c r="B25" s="18"/>
      <c r="J25" s="90"/>
      <c r="K25" s="90"/>
      <c r="L25" s="54"/>
      <c r="M25" s="54"/>
      <c r="N25" s="54"/>
      <c r="O25" s="54"/>
      <c r="P25" s="72"/>
    </row>
    <row r="26" spans="1:33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08"/>
      <c r="P26" s="108"/>
    </row>
    <row r="27" spans="1:33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8"/>
      <c r="P27" s="108"/>
      <c r="Q27"/>
    </row>
    <row r="28" spans="1:33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5"/>
      <c r="P28" s="15"/>
      <c r="Q28"/>
      <c r="R28"/>
      <c r="S28"/>
      <c r="T28"/>
      <c r="U28"/>
      <c r="V28"/>
      <c r="W28" s="15"/>
      <c r="X28" s="15"/>
      <c r="Y28" s="15"/>
      <c r="Z28"/>
      <c r="AA28"/>
      <c r="AB28"/>
      <c r="AC28"/>
      <c r="AD28"/>
      <c r="AE28"/>
      <c r="AF28" s="90"/>
      <c r="AG28" s="90"/>
    </row>
    <row r="29" spans="1:33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5"/>
      <c r="R29"/>
      <c r="S29" s="91"/>
      <c r="T29"/>
      <c r="U29"/>
      <c r="V29"/>
      <c r="W29" s="15"/>
      <c r="X29" s="15"/>
      <c r="Y29" s="15"/>
      <c r="Z29" s="91"/>
      <c r="AA29"/>
      <c r="AB29"/>
      <c r="AC29"/>
      <c r="AD29" s="92"/>
      <c r="AE29" s="1"/>
      <c r="AF29" s="90"/>
      <c r="AG29" s="90"/>
    </row>
    <row r="30" spans="1:33" s="33" customFormat="1" ht="24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9"/>
      <c r="R30"/>
      <c r="S30" s="10"/>
      <c r="T30"/>
      <c r="U30"/>
      <c r="V30"/>
      <c r="W30" s="15"/>
      <c r="X30" s="93"/>
      <c r="Y30" s="93"/>
      <c r="Z30" s="91"/>
      <c r="AA30"/>
      <c r="AB30"/>
      <c r="AC30"/>
      <c r="AD30" s="92"/>
      <c r="AE30"/>
      <c r="AF30" s="90"/>
      <c r="AG30" s="90"/>
    </row>
    <row r="31" spans="1:33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/>
      <c r="Q31"/>
      <c r="R31"/>
      <c r="S31" s="10"/>
      <c r="T31"/>
      <c r="U31"/>
      <c r="V31"/>
      <c r="W31"/>
      <c r="X31" s="94"/>
      <c r="Y31" s="94"/>
      <c r="Z31" s="15"/>
      <c r="AA31"/>
      <c r="AB31"/>
      <c r="AC31"/>
      <c r="AD31" s="92"/>
      <c r="AE31" s="4"/>
      <c r="AF31" s="32"/>
      <c r="AG31" s="32"/>
    </row>
    <row r="32" spans="1:33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/>
      <c r="Q32"/>
      <c r="R32"/>
      <c r="S32"/>
      <c r="T32"/>
      <c r="U32"/>
      <c r="V32"/>
      <c r="W32" s="15"/>
      <c r="X32" s="15"/>
      <c r="Y32" s="15"/>
      <c r="Z32" s="15"/>
      <c r="AA32" s="96"/>
      <c r="AB32" s="96"/>
      <c r="AC32" s="97"/>
      <c r="AD32"/>
      <c r="AE32" s="1"/>
      <c r="AF32" s="32"/>
      <c r="AG32" s="32"/>
    </row>
    <row r="33" spans="1:17" s="59" customFormat="1" ht="26.25" customHeight="1" x14ac:dyDescent="0.2">
      <c r="A33" s="49"/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/>
      <c r="Q33"/>
    </row>
    <row r="34" spans="1:17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</row>
    <row r="35" spans="1:17" s="59" customFormat="1" ht="22.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7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</row>
    <row r="37" spans="1:17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</row>
    <row r="38" spans="1:17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</row>
    <row r="39" spans="1:17" ht="24.75" customHeight="1" x14ac:dyDescent="0.2">
      <c r="A39" s="18" t="s">
        <v>126</v>
      </c>
      <c r="B39" s="18"/>
      <c r="C39" s="9"/>
      <c r="D39" s="60"/>
    </row>
  </sheetData>
  <mergeCells count="10">
    <mergeCell ref="A1:G3"/>
    <mergeCell ref="P4:Q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Q3" r:id="rId1" xr:uid="{2F5C99FB-B4B9-4F9A-ABA3-65B1FA1147B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873F-7507-4323-8103-1C93A83D4317}">
  <dimension ref="A1:AG39"/>
  <sheetViews>
    <sheetView topLeftCell="A7" workbookViewId="0">
      <selection activeCell="A23" sqref="A23:O23"/>
    </sheetView>
  </sheetViews>
  <sheetFormatPr defaultRowHeight="13.5" x14ac:dyDescent="0.15"/>
  <cols>
    <col min="1" max="1" width="18.625" customWidth="1"/>
    <col min="2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278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151">
        <v>43839</v>
      </c>
      <c r="P4" s="258">
        <v>43681</v>
      </c>
      <c r="Q4" s="259"/>
    </row>
    <row r="5" spans="1:17" ht="24" customHeight="1" x14ac:dyDescent="0.2">
      <c r="A5" s="260" t="s">
        <v>27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156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53</v>
      </c>
      <c r="B11" s="68"/>
      <c r="C11" s="69" t="s">
        <v>373</v>
      </c>
      <c r="D11" s="117" t="s">
        <v>249</v>
      </c>
      <c r="E11" s="98" t="s">
        <v>332</v>
      </c>
      <c r="F11" s="99"/>
      <c r="G11" s="53">
        <v>44203</v>
      </c>
      <c r="H11" s="74"/>
      <c r="I11" s="112" t="s">
        <v>249</v>
      </c>
      <c r="J11" s="98" t="s">
        <v>374</v>
      </c>
      <c r="K11" s="112">
        <v>44203</v>
      </c>
      <c r="L11" s="74"/>
      <c r="M11" s="145">
        <v>44211</v>
      </c>
      <c r="N11" s="146">
        <v>44236</v>
      </c>
      <c r="O11" s="147">
        <v>44243</v>
      </c>
      <c r="P11" s="72" t="s">
        <v>29</v>
      </c>
    </row>
    <row r="12" spans="1:17" ht="26.1" customHeight="1" x14ac:dyDescent="0.2">
      <c r="A12" s="89" t="s">
        <v>321</v>
      </c>
      <c r="B12" s="68"/>
      <c r="C12" s="69" t="s">
        <v>375</v>
      </c>
      <c r="D12" s="117" t="s">
        <v>249</v>
      </c>
      <c r="E12" s="98" t="s">
        <v>243</v>
      </c>
      <c r="F12" s="99"/>
      <c r="G12" s="53">
        <v>7</v>
      </c>
      <c r="H12" s="74"/>
      <c r="I12" s="112" t="s">
        <v>249</v>
      </c>
      <c r="J12" s="98" t="s">
        <v>334</v>
      </c>
      <c r="K12" s="112">
        <v>44204</v>
      </c>
      <c r="L12" s="74"/>
      <c r="M12" s="145">
        <v>44213</v>
      </c>
      <c r="N12" s="146">
        <v>44238</v>
      </c>
      <c r="O12" s="147">
        <v>44245</v>
      </c>
      <c r="P12" s="72" t="s">
        <v>28</v>
      </c>
    </row>
    <row r="13" spans="1:17" ht="26.1" customHeight="1" x14ac:dyDescent="0.2">
      <c r="A13" s="89" t="s">
        <v>325</v>
      </c>
      <c r="B13" s="68"/>
      <c r="C13" s="69" t="s">
        <v>384</v>
      </c>
      <c r="D13" s="117" t="s">
        <v>249</v>
      </c>
      <c r="E13" s="98" t="s">
        <v>376</v>
      </c>
      <c r="F13" s="99"/>
      <c r="G13" s="53">
        <v>44209</v>
      </c>
      <c r="H13" s="74"/>
      <c r="I13" s="112" t="s">
        <v>249</v>
      </c>
      <c r="J13" s="98" t="s">
        <v>376</v>
      </c>
      <c r="K13" s="112">
        <v>44209</v>
      </c>
      <c r="L13" s="74"/>
      <c r="M13" s="145">
        <v>44214</v>
      </c>
      <c r="N13" s="146">
        <v>44239</v>
      </c>
      <c r="O13" s="147">
        <v>44246</v>
      </c>
      <c r="P13" s="72"/>
    </row>
    <row r="14" spans="1:17" ht="26.1" customHeight="1" x14ac:dyDescent="0.2">
      <c r="A14" s="89" t="s">
        <v>53</v>
      </c>
      <c r="B14" s="68"/>
      <c r="C14" s="69" t="s">
        <v>377</v>
      </c>
      <c r="D14" s="117" t="s">
        <v>378</v>
      </c>
      <c r="E14" s="98" t="s">
        <v>379</v>
      </c>
      <c r="F14" s="99"/>
      <c r="G14" s="53">
        <v>44210</v>
      </c>
      <c r="H14" s="74"/>
      <c r="I14" s="117" t="s">
        <v>378</v>
      </c>
      <c r="J14" s="98" t="s">
        <v>380</v>
      </c>
      <c r="K14" s="113">
        <v>44210</v>
      </c>
      <c r="L14" s="102"/>
      <c r="M14" s="145">
        <v>44218</v>
      </c>
      <c r="N14" s="146">
        <v>44243</v>
      </c>
      <c r="O14" s="147">
        <v>44250</v>
      </c>
      <c r="P14" s="72"/>
    </row>
    <row r="15" spans="1:17" ht="26.1" customHeight="1" x14ac:dyDescent="0.2">
      <c r="A15" s="89" t="s">
        <v>321</v>
      </c>
      <c r="B15" s="68"/>
      <c r="C15" s="69" t="s">
        <v>381</v>
      </c>
      <c r="D15" s="117" t="s">
        <v>378</v>
      </c>
      <c r="E15" s="98" t="s">
        <v>382</v>
      </c>
      <c r="F15" s="99"/>
      <c r="G15" s="53">
        <v>44211</v>
      </c>
      <c r="H15" s="74"/>
      <c r="I15" s="117" t="s">
        <v>378</v>
      </c>
      <c r="J15" s="98" t="s">
        <v>383</v>
      </c>
      <c r="K15" s="112">
        <v>44214</v>
      </c>
      <c r="L15" s="74"/>
      <c r="M15" s="145">
        <v>44220</v>
      </c>
      <c r="N15" s="146">
        <v>44245</v>
      </c>
      <c r="O15" s="147">
        <v>44252</v>
      </c>
      <c r="P15" s="72"/>
    </row>
    <row r="16" spans="1:17" ht="26.1" customHeight="1" x14ac:dyDescent="0.2">
      <c r="A16" s="89" t="s">
        <v>325</v>
      </c>
      <c r="B16" s="68"/>
      <c r="C16" s="69" t="s">
        <v>385</v>
      </c>
      <c r="D16" s="117" t="s">
        <v>378</v>
      </c>
      <c r="E16" s="98" t="s">
        <v>386</v>
      </c>
      <c r="F16" s="99"/>
      <c r="G16" s="53">
        <v>44216</v>
      </c>
      <c r="H16" s="74"/>
      <c r="I16" s="117" t="s">
        <v>378</v>
      </c>
      <c r="J16" s="98" t="s">
        <v>386</v>
      </c>
      <c r="K16" s="112">
        <v>44216</v>
      </c>
      <c r="L16" s="74"/>
      <c r="M16" s="145">
        <v>44221</v>
      </c>
      <c r="N16" s="146">
        <v>44246</v>
      </c>
      <c r="O16" s="147">
        <v>44253</v>
      </c>
      <c r="P16" s="72"/>
    </row>
    <row r="17" spans="1:33" ht="26.1" customHeight="1" x14ac:dyDescent="0.2">
      <c r="A17" s="89" t="s">
        <v>53</v>
      </c>
      <c r="B17" s="68"/>
      <c r="C17" s="69" t="s">
        <v>387</v>
      </c>
      <c r="D17" s="117" t="s">
        <v>378</v>
      </c>
      <c r="E17" s="98" t="s">
        <v>388</v>
      </c>
      <c r="F17" s="99"/>
      <c r="G17" s="53">
        <v>44217</v>
      </c>
      <c r="H17" s="74"/>
      <c r="I17" s="117" t="s">
        <v>378</v>
      </c>
      <c r="J17" s="98" t="s">
        <v>389</v>
      </c>
      <c r="K17" s="112">
        <v>44217</v>
      </c>
      <c r="L17" s="74"/>
      <c r="M17" s="145">
        <v>44225</v>
      </c>
      <c r="N17" s="146">
        <v>44250</v>
      </c>
      <c r="O17" s="147">
        <v>44257</v>
      </c>
      <c r="P17" s="72"/>
    </row>
    <row r="18" spans="1:33" ht="26.1" customHeight="1" x14ac:dyDescent="0.2">
      <c r="A18" s="89" t="s">
        <v>321</v>
      </c>
      <c r="B18" s="68"/>
      <c r="C18" s="69" t="s">
        <v>390</v>
      </c>
      <c r="D18" s="117" t="s">
        <v>378</v>
      </c>
      <c r="E18" s="98" t="s">
        <v>391</v>
      </c>
      <c r="F18" s="99"/>
      <c r="G18" s="53">
        <v>44218</v>
      </c>
      <c r="H18" s="74"/>
      <c r="I18" s="117" t="s">
        <v>378</v>
      </c>
      <c r="J18" s="98" t="s">
        <v>392</v>
      </c>
      <c r="K18" s="112">
        <v>44221</v>
      </c>
      <c r="L18" s="74"/>
      <c r="M18" s="145">
        <v>44227</v>
      </c>
      <c r="N18" s="146">
        <v>44252</v>
      </c>
      <c r="O18" s="147">
        <v>44259</v>
      </c>
      <c r="P18" s="72" t="s">
        <v>28</v>
      </c>
    </row>
    <row r="19" spans="1:33" ht="26.1" customHeight="1" x14ac:dyDescent="0.2">
      <c r="A19" s="89" t="s">
        <v>325</v>
      </c>
      <c r="B19" s="68"/>
      <c r="C19" s="69" t="s">
        <v>393</v>
      </c>
      <c r="D19" s="117" t="s">
        <v>378</v>
      </c>
      <c r="E19" s="98" t="s">
        <v>394</v>
      </c>
      <c r="F19" s="99"/>
      <c r="G19" s="53">
        <v>44223</v>
      </c>
      <c r="H19" s="74"/>
      <c r="I19" s="117" t="s">
        <v>378</v>
      </c>
      <c r="J19" s="98" t="s">
        <v>394</v>
      </c>
      <c r="K19" s="112">
        <v>44223</v>
      </c>
      <c r="L19" s="74"/>
      <c r="M19" s="145">
        <v>44228</v>
      </c>
      <c r="N19" s="146">
        <v>44253</v>
      </c>
      <c r="O19" s="147">
        <v>44260</v>
      </c>
      <c r="P19" s="72" t="s">
        <v>28</v>
      </c>
    </row>
    <row r="20" spans="1:33" ht="26.1" customHeight="1" x14ac:dyDescent="0.2">
      <c r="A20" s="89"/>
      <c r="B20" s="68"/>
      <c r="C20" s="69"/>
      <c r="D20" s="117"/>
      <c r="E20" s="98"/>
      <c r="F20" s="99"/>
      <c r="G20" s="53"/>
      <c r="H20" s="74"/>
      <c r="I20" s="112"/>
      <c r="J20" s="98"/>
      <c r="K20" s="112"/>
      <c r="L20" s="74"/>
      <c r="M20" s="145"/>
      <c r="N20" s="146"/>
      <c r="O20" s="147"/>
      <c r="P20" s="72"/>
    </row>
    <row r="21" spans="1:33" ht="26.1" customHeight="1" x14ac:dyDescent="0.2">
      <c r="A21" s="89"/>
      <c r="B21" s="68"/>
      <c r="C21" s="69"/>
      <c r="D21" s="117"/>
      <c r="E21" s="98"/>
      <c r="F21" s="99"/>
      <c r="G21" s="53"/>
      <c r="H21" s="74"/>
      <c r="I21" s="112"/>
      <c r="J21" s="98"/>
      <c r="K21" s="112"/>
      <c r="L21" s="74"/>
      <c r="M21" s="145"/>
      <c r="N21" s="146"/>
      <c r="O21" s="147"/>
      <c r="P21" s="72"/>
    </row>
    <row r="22" spans="1:33" ht="26.1" customHeight="1" x14ac:dyDescent="0.2">
      <c r="A22" s="89"/>
      <c r="B22" s="68"/>
      <c r="C22" s="69"/>
      <c r="D22" s="117"/>
      <c r="E22" s="98"/>
      <c r="F22" s="99"/>
      <c r="G22" s="53"/>
      <c r="H22" s="74"/>
      <c r="I22" s="112"/>
      <c r="J22" s="98"/>
      <c r="K22" s="112"/>
      <c r="L22" s="74"/>
      <c r="M22" s="145"/>
      <c r="N22" s="146"/>
      <c r="O22" s="147"/>
      <c r="P22" s="72"/>
    </row>
    <row r="23" spans="1:33" ht="25.5" customHeight="1" x14ac:dyDescent="0.2">
      <c r="A23" s="153"/>
      <c r="B23" s="154"/>
      <c r="C23" s="69"/>
      <c r="D23" s="117"/>
      <c r="E23" s="98"/>
      <c r="F23" s="99"/>
      <c r="G23" s="53"/>
      <c r="H23" s="74"/>
      <c r="I23" s="112"/>
      <c r="J23" s="98"/>
      <c r="K23" s="112"/>
      <c r="L23" s="74"/>
      <c r="M23" s="145"/>
      <c r="N23" s="146"/>
      <c r="O23" s="147"/>
      <c r="P23" s="72"/>
    </row>
    <row r="24" spans="1:33" ht="21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72"/>
    </row>
    <row r="25" spans="1:33" ht="26.25" customHeight="1" x14ac:dyDescent="0.2">
      <c r="A25" s="67"/>
      <c r="B25" s="18"/>
      <c r="J25" s="90"/>
      <c r="K25" s="90"/>
      <c r="L25" s="54"/>
      <c r="M25" s="54"/>
      <c r="N25" s="54"/>
      <c r="O25" s="54"/>
      <c r="P25" s="72"/>
    </row>
    <row r="26" spans="1:33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08"/>
      <c r="P26" s="108"/>
    </row>
    <row r="27" spans="1:33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8"/>
      <c r="P27" s="108"/>
      <c r="Q27"/>
    </row>
    <row r="28" spans="1:33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5"/>
      <c r="P28" s="15"/>
      <c r="Q28"/>
      <c r="R28"/>
      <c r="S28"/>
      <c r="T28"/>
      <c r="U28"/>
      <c r="V28"/>
      <c r="W28" s="15"/>
      <c r="X28" s="15"/>
      <c r="Y28" s="15"/>
      <c r="Z28"/>
      <c r="AA28"/>
      <c r="AB28"/>
      <c r="AC28"/>
      <c r="AD28"/>
      <c r="AE28"/>
      <c r="AF28" s="90"/>
      <c r="AG28" s="90"/>
    </row>
    <row r="29" spans="1:33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5"/>
      <c r="R29"/>
      <c r="S29" s="91"/>
      <c r="T29"/>
      <c r="U29"/>
      <c r="V29"/>
      <c r="W29" s="15"/>
      <c r="X29" s="15"/>
      <c r="Y29" s="15"/>
      <c r="Z29" s="91"/>
      <c r="AA29"/>
      <c r="AB29"/>
      <c r="AC29"/>
      <c r="AD29" s="92"/>
      <c r="AE29" s="1"/>
      <c r="AF29" s="90"/>
      <c r="AG29" s="90"/>
    </row>
    <row r="30" spans="1:33" s="33" customFormat="1" ht="24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9"/>
      <c r="R30"/>
      <c r="S30" s="10"/>
      <c r="T30"/>
      <c r="U30"/>
      <c r="V30"/>
      <c r="W30" s="15"/>
      <c r="X30" s="93"/>
      <c r="Y30" s="93"/>
      <c r="Z30" s="91"/>
      <c r="AA30"/>
      <c r="AB30"/>
      <c r="AC30"/>
      <c r="AD30" s="92"/>
      <c r="AE30"/>
      <c r="AF30" s="90"/>
      <c r="AG30" s="90"/>
    </row>
    <row r="31" spans="1:33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/>
      <c r="Q31"/>
      <c r="R31"/>
      <c r="S31" s="10"/>
      <c r="T31"/>
      <c r="U31"/>
      <c r="V31"/>
      <c r="W31"/>
      <c r="X31" s="94"/>
      <c r="Y31" s="94"/>
      <c r="Z31" s="15"/>
      <c r="AA31"/>
      <c r="AB31"/>
      <c r="AC31"/>
      <c r="AD31" s="92"/>
      <c r="AE31" s="4"/>
      <c r="AF31" s="32"/>
      <c r="AG31" s="32"/>
    </row>
    <row r="32" spans="1:33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/>
      <c r="Q32"/>
      <c r="R32"/>
      <c r="S32"/>
      <c r="T32"/>
      <c r="U32"/>
      <c r="V32"/>
      <c r="W32" s="15"/>
      <c r="X32" s="15"/>
      <c r="Y32" s="15"/>
      <c r="Z32" s="15"/>
      <c r="AA32" s="96"/>
      <c r="AB32" s="96"/>
      <c r="AC32" s="97"/>
      <c r="AD32"/>
      <c r="AE32" s="1"/>
      <c r="AF32" s="32"/>
      <c r="AG32" s="32"/>
    </row>
    <row r="33" spans="1:17" s="59" customFormat="1" ht="26.25" customHeight="1" x14ac:dyDescent="0.2">
      <c r="A33" s="49"/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/>
      <c r="Q33"/>
    </row>
    <row r="34" spans="1:17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</row>
    <row r="35" spans="1:17" s="59" customFormat="1" ht="22.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7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</row>
    <row r="37" spans="1:17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</row>
    <row r="38" spans="1:17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</row>
    <row r="39" spans="1:17" ht="24.75" customHeight="1" x14ac:dyDescent="0.2">
      <c r="A39" s="18" t="s">
        <v>126</v>
      </c>
      <c r="B39" s="18"/>
      <c r="C39" s="9"/>
      <c r="D39" s="60"/>
    </row>
  </sheetData>
  <mergeCells count="10">
    <mergeCell ref="A10:B10"/>
    <mergeCell ref="D10:F10"/>
    <mergeCell ref="G10:H10"/>
    <mergeCell ref="I10:J10"/>
    <mergeCell ref="K10:L10"/>
    <mergeCell ref="A1:G3"/>
    <mergeCell ref="P4:Q4"/>
    <mergeCell ref="A5:C6"/>
    <mergeCell ref="D9:H9"/>
    <mergeCell ref="I9:L9"/>
  </mergeCells>
  <phoneticPr fontId="2"/>
  <hyperlinks>
    <hyperlink ref="Q3" r:id="rId1" xr:uid="{4505FE51-3D5E-4A39-8D9B-0FF5CE303B2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4C25-C994-413F-AEF3-653E6DFCBC4C}">
  <dimension ref="A1:AG39"/>
  <sheetViews>
    <sheetView topLeftCell="A8" workbookViewId="0">
      <selection activeCell="A23" sqref="A23"/>
    </sheetView>
  </sheetViews>
  <sheetFormatPr defaultRowHeight="13.5" x14ac:dyDescent="0.15"/>
  <cols>
    <col min="1" max="1" width="18.625" customWidth="1"/>
    <col min="2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278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151">
        <v>44218</v>
      </c>
      <c r="P4" s="258">
        <v>43681</v>
      </c>
      <c r="Q4" s="259"/>
    </row>
    <row r="5" spans="1:17" ht="24" customHeight="1" x14ac:dyDescent="0.2">
      <c r="A5" s="260" t="s">
        <v>27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157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53</v>
      </c>
      <c r="B11" s="68"/>
      <c r="C11" s="69" t="s">
        <v>395</v>
      </c>
      <c r="D11" s="117" t="s">
        <v>251</v>
      </c>
      <c r="E11" s="98" t="s">
        <v>396</v>
      </c>
      <c r="F11" s="99"/>
      <c r="G11" s="53">
        <v>44224</v>
      </c>
      <c r="H11" s="74"/>
      <c r="I11" s="112" t="s">
        <v>251</v>
      </c>
      <c r="J11" s="98" t="s">
        <v>355</v>
      </c>
      <c r="K11" s="112">
        <v>44224</v>
      </c>
      <c r="L11" s="74"/>
      <c r="M11" s="145">
        <v>44232</v>
      </c>
      <c r="N11" s="146">
        <v>44257</v>
      </c>
      <c r="O11" s="147">
        <v>44264</v>
      </c>
      <c r="P11" s="72" t="s">
        <v>29</v>
      </c>
    </row>
    <row r="12" spans="1:17" ht="26.1" customHeight="1" x14ac:dyDescent="0.2">
      <c r="A12" s="89" t="s">
        <v>321</v>
      </c>
      <c r="B12" s="68"/>
      <c r="C12" s="69" t="s">
        <v>397</v>
      </c>
      <c r="D12" s="117" t="s">
        <v>251</v>
      </c>
      <c r="E12" s="98" t="s">
        <v>265</v>
      </c>
      <c r="F12" s="99"/>
      <c r="G12" s="53">
        <v>44225</v>
      </c>
      <c r="H12" s="74"/>
      <c r="I12" s="112" t="s">
        <v>251</v>
      </c>
      <c r="J12" s="98" t="s">
        <v>398</v>
      </c>
      <c r="K12" s="112">
        <v>44228</v>
      </c>
      <c r="L12" s="74"/>
      <c r="M12" s="145">
        <v>44234</v>
      </c>
      <c r="N12" s="146">
        <v>44259</v>
      </c>
      <c r="O12" s="147">
        <v>44266</v>
      </c>
      <c r="P12" s="72" t="s">
        <v>28</v>
      </c>
    </row>
    <row r="13" spans="1:17" ht="26.1" customHeight="1" x14ac:dyDescent="0.2">
      <c r="A13" s="89" t="s">
        <v>325</v>
      </c>
      <c r="B13" s="68"/>
      <c r="C13" s="69" t="s">
        <v>399</v>
      </c>
      <c r="D13" s="117" t="s">
        <v>251</v>
      </c>
      <c r="E13" s="98" t="s">
        <v>400</v>
      </c>
      <c r="F13" s="99"/>
      <c r="G13" s="53">
        <v>44230</v>
      </c>
      <c r="H13" s="74"/>
      <c r="I13" s="112" t="s">
        <v>251</v>
      </c>
      <c r="J13" s="98" t="s">
        <v>400</v>
      </c>
      <c r="K13" s="112">
        <v>44230</v>
      </c>
      <c r="L13" s="74"/>
      <c r="M13" s="145">
        <v>44235</v>
      </c>
      <c r="N13" s="146">
        <v>44260</v>
      </c>
      <c r="O13" s="147">
        <v>44267</v>
      </c>
      <c r="P13" s="72"/>
    </row>
    <row r="14" spans="1:17" ht="26.1" customHeight="1" x14ac:dyDescent="0.2">
      <c r="A14" s="89" t="s">
        <v>53</v>
      </c>
      <c r="B14" s="68"/>
      <c r="C14" s="69" t="s">
        <v>401</v>
      </c>
      <c r="D14" s="117" t="s">
        <v>251</v>
      </c>
      <c r="E14" s="98" t="s">
        <v>402</v>
      </c>
      <c r="F14" s="99"/>
      <c r="G14" s="53">
        <v>44231</v>
      </c>
      <c r="H14" s="74"/>
      <c r="I14" s="117" t="s">
        <v>251</v>
      </c>
      <c r="J14" s="98" t="s">
        <v>360</v>
      </c>
      <c r="K14" s="113">
        <v>44231</v>
      </c>
      <c r="L14" s="102"/>
      <c r="M14" s="145">
        <v>44239</v>
      </c>
      <c r="N14" s="146">
        <v>44264</v>
      </c>
      <c r="O14" s="147">
        <v>44271</v>
      </c>
      <c r="P14" s="72"/>
    </row>
    <row r="15" spans="1:17" ht="26.1" customHeight="1" x14ac:dyDescent="0.2">
      <c r="A15" s="89" t="s">
        <v>321</v>
      </c>
      <c r="B15" s="68"/>
      <c r="C15" s="69" t="s">
        <v>403</v>
      </c>
      <c r="D15" s="117" t="s">
        <v>251</v>
      </c>
      <c r="E15" s="98" t="s">
        <v>250</v>
      </c>
      <c r="F15" s="99"/>
      <c r="G15" s="53">
        <v>44232</v>
      </c>
      <c r="H15" s="74"/>
      <c r="I15" s="117" t="s">
        <v>251</v>
      </c>
      <c r="J15" s="98" t="s">
        <v>404</v>
      </c>
      <c r="K15" s="112">
        <v>44235</v>
      </c>
      <c r="L15" s="74"/>
      <c r="M15" s="145">
        <v>44241</v>
      </c>
      <c r="N15" s="146">
        <v>44266</v>
      </c>
      <c r="O15" s="147">
        <v>44273</v>
      </c>
      <c r="P15" s="72"/>
    </row>
    <row r="16" spans="1:17" ht="26.1" customHeight="1" x14ac:dyDescent="0.2">
      <c r="A16" s="89" t="s">
        <v>325</v>
      </c>
      <c r="B16" s="68"/>
      <c r="C16" s="69" t="s">
        <v>405</v>
      </c>
      <c r="D16" s="117" t="s">
        <v>251</v>
      </c>
      <c r="E16" s="98" t="s">
        <v>406</v>
      </c>
      <c r="F16" s="99"/>
      <c r="G16" s="53">
        <v>44236</v>
      </c>
      <c r="H16" s="74"/>
      <c r="I16" s="117" t="s">
        <v>251</v>
      </c>
      <c r="J16" s="98" t="s">
        <v>406</v>
      </c>
      <c r="K16" s="112">
        <v>44236</v>
      </c>
      <c r="L16" s="74"/>
      <c r="M16" s="145">
        <v>44242</v>
      </c>
      <c r="N16" s="146">
        <v>44267</v>
      </c>
      <c r="O16" s="147">
        <v>44274</v>
      </c>
      <c r="P16" s="72"/>
    </row>
    <row r="17" spans="1:33" ht="26.1" customHeight="1" x14ac:dyDescent="0.2">
      <c r="A17" s="89" t="s">
        <v>53</v>
      </c>
      <c r="B17" s="68"/>
      <c r="C17" s="69" t="s">
        <v>407</v>
      </c>
      <c r="D17" s="117" t="s">
        <v>251</v>
      </c>
      <c r="E17" s="98" t="s">
        <v>376</v>
      </c>
      <c r="F17" s="99"/>
      <c r="G17" s="53">
        <v>44237</v>
      </c>
      <c r="H17" s="74"/>
      <c r="I17" s="117" t="s">
        <v>251</v>
      </c>
      <c r="J17" s="98" t="s">
        <v>366</v>
      </c>
      <c r="K17" s="112">
        <v>44237</v>
      </c>
      <c r="L17" s="74"/>
      <c r="M17" s="145">
        <v>44246</v>
      </c>
      <c r="N17" s="146">
        <v>44271</v>
      </c>
      <c r="O17" s="147">
        <v>44278</v>
      </c>
      <c r="P17" s="72"/>
    </row>
    <row r="18" spans="1:33" ht="26.1" customHeight="1" x14ac:dyDescent="0.2">
      <c r="A18" s="89" t="s">
        <v>321</v>
      </c>
      <c r="B18" s="68"/>
      <c r="C18" s="69" t="s">
        <v>408</v>
      </c>
      <c r="D18" s="117" t="s">
        <v>251</v>
      </c>
      <c r="E18" s="98" t="s">
        <v>253</v>
      </c>
      <c r="F18" s="99"/>
      <c r="G18" s="53">
        <v>44239</v>
      </c>
      <c r="H18" s="74"/>
      <c r="I18" s="117" t="s">
        <v>251</v>
      </c>
      <c r="J18" s="98" t="s">
        <v>409</v>
      </c>
      <c r="K18" s="112">
        <v>44242</v>
      </c>
      <c r="L18" s="74"/>
      <c r="M18" s="145">
        <v>44248</v>
      </c>
      <c r="N18" s="146">
        <v>44273</v>
      </c>
      <c r="O18" s="147">
        <v>44280</v>
      </c>
      <c r="P18" s="72" t="s">
        <v>28</v>
      </c>
    </row>
    <row r="19" spans="1:33" ht="26.1" customHeight="1" x14ac:dyDescent="0.2">
      <c r="A19" s="89" t="s">
        <v>325</v>
      </c>
      <c r="B19" s="68"/>
      <c r="C19" s="69" t="s">
        <v>410</v>
      </c>
      <c r="D19" s="117" t="s">
        <v>251</v>
      </c>
      <c r="E19" s="98" t="s">
        <v>411</v>
      </c>
      <c r="F19" s="99"/>
      <c r="G19" s="53">
        <v>44244</v>
      </c>
      <c r="H19" s="74"/>
      <c r="I19" s="117" t="s">
        <v>251</v>
      </c>
      <c r="J19" s="98" t="s">
        <v>411</v>
      </c>
      <c r="K19" s="112">
        <v>44244</v>
      </c>
      <c r="L19" s="74"/>
      <c r="M19" s="145">
        <v>44249</v>
      </c>
      <c r="N19" s="146">
        <v>44274</v>
      </c>
      <c r="O19" s="147">
        <v>44281</v>
      </c>
      <c r="P19" s="72" t="s">
        <v>28</v>
      </c>
    </row>
    <row r="20" spans="1:33" ht="26.1" customHeight="1" x14ac:dyDescent="0.2">
      <c r="A20" s="89" t="s">
        <v>53</v>
      </c>
      <c r="B20" s="68"/>
      <c r="C20" s="69" t="s">
        <v>412</v>
      </c>
      <c r="D20" s="117" t="s">
        <v>251</v>
      </c>
      <c r="E20" s="98" t="s">
        <v>386</v>
      </c>
      <c r="F20" s="99"/>
      <c r="G20" s="53">
        <v>44245</v>
      </c>
      <c r="H20" s="74"/>
      <c r="I20" s="112" t="s">
        <v>251</v>
      </c>
      <c r="J20" s="98" t="s">
        <v>370</v>
      </c>
      <c r="K20" s="112">
        <v>44245</v>
      </c>
      <c r="L20" s="74"/>
      <c r="M20" s="145">
        <v>44253</v>
      </c>
      <c r="N20" s="146">
        <v>44278</v>
      </c>
      <c r="O20" s="147">
        <v>44285</v>
      </c>
      <c r="P20" s="72"/>
    </row>
    <row r="21" spans="1:33" ht="26.1" customHeight="1" x14ac:dyDescent="0.2">
      <c r="A21" s="89" t="s">
        <v>321</v>
      </c>
      <c r="B21" s="68"/>
      <c r="C21" s="69" t="s">
        <v>413</v>
      </c>
      <c r="D21" s="117" t="s">
        <v>251</v>
      </c>
      <c r="E21" s="98" t="s">
        <v>255</v>
      </c>
      <c r="F21" s="99"/>
      <c r="G21" s="53">
        <v>44246</v>
      </c>
      <c r="H21" s="74"/>
      <c r="I21" s="112" t="s">
        <v>251</v>
      </c>
      <c r="J21" s="98" t="s">
        <v>414</v>
      </c>
      <c r="K21" s="112">
        <v>44246</v>
      </c>
      <c r="L21" s="74"/>
      <c r="M21" s="145">
        <v>44255</v>
      </c>
      <c r="N21" s="146">
        <v>44280</v>
      </c>
      <c r="O21" s="147">
        <v>44287</v>
      </c>
      <c r="P21" s="72"/>
    </row>
    <row r="22" spans="1:33" ht="26.1" customHeight="1" x14ac:dyDescent="0.2">
      <c r="A22" s="89" t="s">
        <v>325</v>
      </c>
      <c r="B22" s="68"/>
      <c r="C22" s="69" t="s">
        <v>415</v>
      </c>
      <c r="D22" s="117" t="s">
        <v>251</v>
      </c>
      <c r="E22" s="98" t="s">
        <v>416</v>
      </c>
      <c r="F22" s="99"/>
      <c r="G22" s="53">
        <v>44251</v>
      </c>
      <c r="H22" s="74"/>
      <c r="I22" s="112" t="s">
        <v>251</v>
      </c>
      <c r="J22" s="98" t="s">
        <v>416</v>
      </c>
      <c r="K22" s="112">
        <v>44251</v>
      </c>
      <c r="L22" s="74"/>
      <c r="M22" s="145">
        <v>44256</v>
      </c>
      <c r="N22" s="146">
        <v>44281</v>
      </c>
      <c r="O22" s="147">
        <v>44288</v>
      </c>
      <c r="P22" s="72"/>
    </row>
    <row r="23" spans="1:33" ht="25.5" customHeight="1" x14ac:dyDescent="0.2">
      <c r="A23" s="153"/>
      <c r="B23" s="154"/>
      <c r="C23" s="69"/>
      <c r="D23" s="117"/>
      <c r="E23" s="98"/>
      <c r="F23" s="99"/>
      <c r="G23" s="53"/>
      <c r="H23" s="74"/>
      <c r="I23" s="112"/>
      <c r="J23" s="98"/>
      <c r="K23" s="112"/>
      <c r="L23" s="74"/>
      <c r="M23" s="145"/>
      <c r="N23" s="146"/>
      <c r="O23" s="147"/>
      <c r="P23" s="72"/>
    </row>
    <row r="24" spans="1:33" ht="21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72"/>
    </row>
    <row r="25" spans="1:33" ht="26.25" customHeight="1" x14ac:dyDescent="0.2">
      <c r="A25" s="67"/>
      <c r="B25" s="18"/>
      <c r="J25" s="90"/>
      <c r="K25" s="90"/>
      <c r="L25" s="54"/>
      <c r="M25" s="54"/>
      <c r="N25" s="54"/>
      <c r="O25" s="54"/>
      <c r="P25" s="72"/>
    </row>
    <row r="26" spans="1:33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08"/>
      <c r="P26" s="108"/>
    </row>
    <row r="27" spans="1:33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8"/>
      <c r="P27" s="108"/>
      <c r="Q27"/>
    </row>
    <row r="28" spans="1:33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5"/>
      <c r="P28" s="15"/>
      <c r="Q28"/>
      <c r="R28"/>
      <c r="S28"/>
      <c r="T28"/>
      <c r="U28"/>
      <c r="V28"/>
      <c r="W28" s="15"/>
      <c r="X28" s="15"/>
      <c r="Y28" s="15"/>
      <c r="Z28"/>
      <c r="AA28"/>
      <c r="AB28"/>
      <c r="AC28"/>
      <c r="AD28"/>
      <c r="AE28"/>
      <c r="AF28" s="90"/>
      <c r="AG28" s="90"/>
    </row>
    <row r="29" spans="1:33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5"/>
      <c r="R29"/>
      <c r="S29" s="91"/>
      <c r="T29"/>
      <c r="U29"/>
      <c r="V29"/>
      <c r="W29" s="15"/>
      <c r="X29" s="15"/>
      <c r="Y29" s="15"/>
      <c r="Z29" s="91"/>
      <c r="AA29"/>
      <c r="AB29"/>
      <c r="AC29"/>
      <c r="AD29" s="92"/>
      <c r="AE29" s="1"/>
      <c r="AF29" s="90"/>
      <c r="AG29" s="90"/>
    </row>
    <row r="30" spans="1:33" s="33" customFormat="1" ht="24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9"/>
      <c r="R30"/>
      <c r="S30" s="10"/>
      <c r="T30"/>
      <c r="U30"/>
      <c r="V30"/>
      <c r="W30" s="15"/>
      <c r="X30" s="93"/>
      <c r="Y30" s="93"/>
      <c r="Z30" s="91"/>
      <c r="AA30"/>
      <c r="AB30"/>
      <c r="AC30"/>
      <c r="AD30" s="92"/>
      <c r="AE30"/>
      <c r="AF30" s="90"/>
      <c r="AG30" s="90"/>
    </row>
    <row r="31" spans="1:33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/>
      <c r="Q31"/>
      <c r="R31"/>
      <c r="S31" s="10"/>
      <c r="T31"/>
      <c r="U31"/>
      <c r="V31"/>
      <c r="W31"/>
      <c r="X31" s="94"/>
      <c r="Y31" s="94"/>
      <c r="Z31" s="15"/>
      <c r="AA31"/>
      <c r="AB31"/>
      <c r="AC31"/>
      <c r="AD31" s="92"/>
      <c r="AE31" s="4"/>
      <c r="AF31" s="32"/>
      <c r="AG31" s="32"/>
    </row>
    <row r="32" spans="1:33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/>
      <c r="Q32"/>
      <c r="R32"/>
      <c r="S32"/>
      <c r="T32"/>
      <c r="U32"/>
      <c r="V32"/>
      <c r="W32" s="15"/>
      <c r="X32" s="15"/>
      <c r="Y32" s="15"/>
      <c r="Z32" s="15"/>
      <c r="AA32" s="96"/>
      <c r="AB32" s="96"/>
      <c r="AC32" s="97"/>
      <c r="AD32"/>
      <c r="AE32" s="1"/>
      <c r="AF32" s="32"/>
      <c r="AG32" s="32"/>
    </row>
    <row r="33" spans="1:17" s="59" customFormat="1" ht="26.25" customHeight="1" x14ac:dyDescent="0.2">
      <c r="A33" s="49"/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/>
      <c r="Q33"/>
    </row>
    <row r="34" spans="1:17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</row>
    <row r="35" spans="1:17" s="59" customFormat="1" ht="22.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7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</row>
    <row r="37" spans="1:17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</row>
    <row r="38" spans="1:17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</row>
    <row r="39" spans="1:17" ht="24.75" customHeight="1" x14ac:dyDescent="0.2">
      <c r="A39" s="18" t="s">
        <v>126</v>
      </c>
      <c r="B39" s="18"/>
      <c r="C39" s="9"/>
      <c r="D39" s="60"/>
    </row>
  </sheetData>
  <mergeCells count="10">
    <mergeCell ref="A1:G3"/>
    <mergeCell ref="P4:Q4"/>
    <mergeCell ref="A5:C6"/>
    <mergeCell ref="D9:H9"/>
    <mergeCell ref="I9:L9"/>
    <mergeCell ref="A10:B10"/>
    <mergeCell ref="D10:F10"/>
    <mergeCell ref="G10:H10"/>
    <mergeCell ref="I10:J10"/>
    <mergeCell ref="K10:L10"/>
  </mergeCells>
  <phoneticPr fontId="2"/>
  <hyperlinks>
    <hyperlink ref="Q3" r:id="rId1" xr:uid="{1275C6D2-7F82-4F28-90EC-B4F69A054039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E09C-CD3E-4EFA-9EC5-5490AF100B77}">
  <dimension ref="A1:AG39"/>
  <sheetViews>
    <sheetView topLeftCell="A7" workbookViewId="0">
      <selection activeCell="K35" sqref="K35"/>
    </sheetView>
  </sheetViews>
  <sheetFormatPr defaultRowHeight="13.5" x14ac:dyDescent="0.15"/>
  <cols>
    <col min="1" max="1" width="18.625" customWidth="1"/>
    <col min="2" max="2" width="19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6.125" customWidth="1"/>
    <col min="9" max="9" width="11.125" customWidth="1"/>
    <col min="10" max="10" width="10.25" customWidth="1"/>
    <col min="11" max="11" width="14.375" customWidth="1"/>
    <col min="12" max="12" width="8.625" customWidth="1"/>
    <col min="13" max="14" width="22.625" customWidth="1"/>
    <col min="15" max="15" width="27.625" customWidth="1"/>
    <col min="16" max="16" width="9.375" hidden="1" customWidth="1"/>
    <col min="17" max="17" width="5.75" hidden="1" customWidth="1"/>
  </cols>
  <sheetData>
    <row r="1" spans="1:17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149" t="s">
        <v>277</v>
      </c>
      <c r="P1" s="36"/>
      <c r="Q1" s="35" t="s">
        <v>24</v>
      </c>
    </row>
    <row r="2" spans="1:17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149" t="s">
        <v>433</v>
      </c>
      <c r="P2" s="36"/>
      <c r="Q2" s="35" t="s">
        <v>25</v>
      </c>
    </row>
    <row r="3" spans="1:17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81" t="s">
        <v>26</v>
      </c>
    </row>
    <row r="4" spans="1:17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O4" s="151">
        <v>44250</v>
      </c>
      <c r="P4" s="258">
        <v>43681</v>
      </c>
      <c r="Q4" s="259"/>
    </row>
    <row r="5" spans="1:17" ht="24" customHeight="1" x14ac:dyDescent="0.2">
      <c r="A5" s="260" t="s">
        <v>27</v>
      </c>
      <c r="B5" s="260"/>
      <c r="C5" s="260"/>
      <c r="D5" s="58"/>
    </row>
    <row r="6" spans="1:17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O6" s="6"/>
      <c r="Q6" s="11"/>
    </row>
    <row r="7" spans="1:17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7" s="13" customFormat="1" ht="10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7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158" t="s">
        <v>8</v>
      </c>
      <c r="O9" s="110" t="s">
        <v>10</v>
      </c>
    </row>
    <row r="10" spans="1:17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6</v>
      </c>
      <c r="N10" s="84" t="s">
        <v>7</v>
      </c>
      <c r="O10" s="84" t="s">
        <v>7</v>
      </c>
    </row>
    <row r="11" spans="1:17" ht="26.1" customHeight="1" x14ac:dyDescent="0.2">
      <c r="A11" s="89" t="s">
        <v>53</v>
      </c>
      <c r="B11" s="68"/>
      <c r="C11" s="69" t="s">
        <v>417</v>
      </c>
      <c r="D11" s="117" t="s">
        <v>257</v>
      </c>
      <c r="E11" s="98" t="s">
        <v>396</v>
      </c>
      <c r="F11" s="99"/>
      <c r="G11" s="53">
        <v>44252</v>
      </c>
      <c r="H11" s="74"/>
      <c r="I11" s="112" t="s">
        <v>257</v>
      </c>
      <c r="J11" s="98" t="s">
        <v>355</v>
      </c>
      <c r="K11" s="112">
        <v>44252</v>
      </c>
      <c r="L11" s="74"/>
      <c r="M11" s="145">
        <v>44260</v>
      </c>
      <c r="N11" s="146">
        <v>44285</v>
      </c>
      <c r="O11" s="147">
        <v>44292</v>
      </c>
      <c r="P11" s="72"/>
    </row>
    <row r="12" spans="1:17" ht="26.1" customHeight="1" x14ac:dyDescent="0.2">
      <c r="A12" s="89" t="s">
        <v>321</v>
      </c>
      <c r="B12" s="68"/>
      <c r="C12" s="69" t="s">
        <v>418</v>
      </c>
      <c r="D12" s="117" t="s">
        <v>257</v>
      </c>
      <c r="E12" s="98" t="s">
        <v>265</v>
      </c>
      <c r="F12" s="99"/>
      <c r="G12" s="53">
        <v>44253</v>
      </c>
      <c r="H12" s="74"/>
      <c r="I12" s="112" t="s">
        <v>257</v>
      </c>
      <c r="J12" s="98" t="s">
        <v>398</v>
      </c>
      <c r="K12" s="112">
        <v>44256</v>
      </c>
      <c r="L12" s="74"/>
      <c r="M12" s="145">
        <v>44262</v>
      </c>
      <c r="N12" s="146">
        <v>44288</v>
      </c>
      <c r="O12" s="147">
        <v>44294</v>
      </c>
      <c r="P12" s="72"/>
    </row>
    <row r="13" spans="1:17" ht="26.1" customHeight="1" x14ac:dyDescent="0.2">
      <c r="A13" s="89" t="s">
        <v>325</v>
      </c>
      <c r="B13" s="68"/>
      <c r="C13" s="69" t="s">
        <v>419</v>
      </c>
      <c r="D13" s="117" t="s">
        <v>257</v>
      </c>
      <c r="E13" s="98" t="s">
        <v>400</v>
      </c>
      <c r="F13" s="99"/>
      <c r="G13" s="53">
        <v>44258</v>
      </c>
      <c r="H13" s="74"/>
      <c r="I13" s="112" t="s">
        <v>257</v>
      </c>
      <c r="J13" s="98" t="s">
        <v>400</v>
      </c>
      <c r="K13" s="112">
        <v>44258</v>
      </c>
      <c r="L13" s="74"/>
      <c r="M13" s="145">
        <v>44263</v>
      </c>
      <c r="N13" s="146">
        <v>44289</v>
      </c>
      <c r="O13" s="147">
        <v>44295</v>
      </c>
      <c r="P13" s="72"/>
    </row>
    <row r="14" spans="1:17" ht="26.1" customHeight="1" x14ac:dyDescent="0.2">
      <c r="A14" s="89" t="s">
        <v>53</v>
      </c>
      <c r="B14" s="68"/>
      <c r="C14" s="69" t="s">
        <v>420</v>
      </c>
      <c r="D14" s="117" t="s">
        <v>257</v>
      </c>
      <c r="E14" s="98" t="s">
        <v>402</v>
      </c>
      <c r="F14" s="99"/>
      <c r="G14" s="53">
        <v>44259</v>
      </c>
      <c r="H14" s="74"/>
      <c r="I14" s="117" t="s">
        <v>257</v>
      </c>
      <c r="J14" s="98" t="s">
        <v>360</v>
      </c>
      <c r="K14" s="113">
        <v>44259</v>
      </c>
      <c r="L14" s="102"/>
      <c r="M14" s="145">
        <v>44267</v>
      </c>
      <c r="N14" s="146">
        <v>44293</v>
      </c>
      <c r="O14" s="147">
        <v>44299</v>
      </c>
      <c r="P14" s="72"/>
    </row>
    <row r="15" spans="1:17" ht="26.1" customHeight="1" x14ac:dyDescent="0.2">
      <c r="A15" s="89" t="s">
        <v>321</v>
      </c>
      <c r="B15" s="68"/>
      <c r="C15" s="69" t="s">
        <v>421</v>
      </c>
      <c r="D15" s="117" t="s">
        <v>257</v>
      </c>
      <c r="E15" s="98" t="s">
        <v>250</v>
      </c>
      <c r="F15" s="99"/>
      <c r="G15" s="53">
        <v>44260</v>
      </c>
      <c r="H15" s="74"/>
      <c r="I15" s="117" t="s">
        <v>257</v>
      </c>
      <c r="J15" s="98" t="s">
        <v>404</v>
      </c>
      <c r="K15" s="112">
        <v>44263</v>
      </c>
      <c r="L15" s="74"/>
      <c r="M15" s="145">
        <v>44269</v>
      </c>
      <c r="N15" s="146">
        <v>44295</v>
      </c>
      <c r="O15" s="147">
        <v>44301</v>
      </c>
      <c r="P15" s="72"/>
    </row>
    <row r="16" spans="1:17" ht="26.1" customHeight="1" x14ac:dyDescent="0.2">
      <c r="A16" s="89" t="s">
        <v>325</v>
      </c>
      <c r="B16" s="68"/>
      <c r="C16" s="69" t="s">
        <v>422</v>
      </c>
      <c r="D16" s="117" t="s">
        <v>257</v>
      </c>
      <c r="E16" s="98" t="s">
        <v>406</v>
      </c>
      <c r="F16" s="99"/>
      <c r="G16" s="53">
        <v>44265</v>
      </c>
      <c r="H16" s="74"/>
      <c r="I16" s="117" t="s">
        <v>257</v>
      </c>
      <c r="J16" s="98" t="s">
        <v>406</v>
      </c>
      <c r="K16" s="112">
        <v>44265</v>
      </c>
      <c r="L16" s="74"/>
      <c r="M16" s="145">
        <v>44270</v>
      </c>
      <c r="N16" s="146">
        <v>44296</v>
      </c>
      <c r="O16" s="147">
        <v>44302</v>
      </c>
      <c r="P16" s="72"/>
    </row>
    <row r="17" spans="1:33" ht="26.1" customHeight="1" x14ac:dyDescent="0.2">
      <c r="A17" s="89" t="s">
        <v>53</v>
      </c>
      <c r="B17" s="68"/>
      <c r="C17" s="69" t="s">
        <v>423</v>
      </c>
      <c r="D17" s="117" t="s">
        <v>257</v>
      </c>
      <c r="E17" s="98" t="s">
        <v>376</v>
      </c>
      <c r="F17" s="99"/>
      <c r="G17" s="53">
        <v>44266</v>
      </c>
      <c r="H17" s="74"/>
      <c r="I17" s="117" t="s">
        <v>257</v>
      </c>
      <c r="J17" s="98" t="s">
        <v>366</v>
      </c>
      <c r="K17" s="112">
        <v>44266</v>
      </c>
      <c r="L17" s="74"/>
      <c r="M17" s="145">
        <v>44274</v>
      </c>
      <c r="N17" s="146">
        <v>44300</v>
      </c>
      <c r="O17" s="147">
        <v>44306</v>
      </c>
      <c r="P17" s="72"/>
    </row>
    <row r="18" spans="1:33" ht="26.1" customHeight="1" x14ac:dyDescent="0.2">
      <c r="A18" s="89" t="s">
        <v>321</v>
      </c>
      <c r="B18" s="68"/>
      <c r="C18" s="69" t="s">
        <v>424</v>
      </c>
      <c r="D18" s="117" t="s">
        <v>257</v>
      </c>
      <c r="E18" s="98" t="s">
        <v>253</v>
      </c>
      <c r="F18" s="99"/>
      <c r="G18" s="53">
        <v>44267</v>
      </c>
      <c r="H18" s="74"/>
      <c r="I18" s="117" t="s">
        <v>257</v>
      </c>
      <c r="J18" s="98" t="s">
        <v>409</v>
      </c>
      <c r="K18" s="112">
        <v>44270</v>
      </c>
      <c r="L18" s="74"/>
      <c r="M18" s="145">
        <v>44276</v>
      </c>
      <c r="N18" s="146">
        <v>44302</v>
      </c>
      <c r="O18" s="147">
        <v>44308</v>
      </c>
      <c r="P18" s="72"/>
    </row>
    <row r="19" spans="1:33" ht="26.1" customHeight="1" x14ac:dyDescent="0.2">
      <c r="A19" s="89" t="s">
        <v>325</v>
      </c>
      <c r="B19" s="68"/>
      <c r="C19" s="69" t="s">
        <v>425</v>
      </c>
      <c r="D19" s="117" t="s">
        <v>257</v>
      </c>
      <c r="E19" s="98" t="s">
        <v>411</v>
      </c>
      <c r="F19" s="99"/>
      <c r="G19" s="53">
        <v>44272</v>
      </c>
      <c r="H19" s="74"/>
      <c r="I19" s="117" t="s">
        <v>257</v>
      </c>
      <c r="J19" s="98" t="s">
        <v>411</v>
      </c>
      <c r="K19" s="112">
        <v>44272</v>
      </c>
      <c r="L19" s="74"/>
      <c r="M19" s="145">
        <v>44277</v>
      </c>
      <c r="N19" s="146">
        <v>44303</v>
      </c>
      <c r="O19" s="147">
        <v>44309</v>
      </c>
      <c r="P19" s="72"/>
    </row>
    <row r="20" spans="1:33" ht="26.1" customHeight="1" x14ac:dyDescent="0.2">
      <c r="A20" s="89" t="s">
        <v>53</v>
      </c>
      <c r="B20" s="68"/>
      <c r="C20" s="69" t="s">
        <v>426</v>
      </c>
      <c r="D20" s="117" t="s">
        <v>257</v>
      </c>
      <c r="E20" s="98" t="s">
        <v>386</v>
      </c>
      <c r="F20" s="99"/>
      <c r="G20" s="53">
        <v>44273</v>
      </c>
      <c r="H20" s="74"/>
      <c r="I20" s="112" t="s">
        <v>257</v>
      </c>
      <c r="J20" s="98" t="s">
        <v>370</v>
      </c>
      <c r="K20" s="112">
        <v>44273</v>
      </c>
      <c r="L20" s="74"/>
      <c r="M20" s="145">
        <v>44281</v>
      </c>
      <c r="N20" s="146">
        <v>44307</v>
      </c>
      <c r="O20" s="147">
        <v>44313</v>
      </c>
      <c r="P20" s="72"/>
    </row>
    <row r="21" spans="1:33" ht="26.1" customHeight="1" x14ac:dyDescent="0.2">
      <c r="A21" s="89" t="s">
        <v>321</v>
      </c>
      <c r="B21" s="68"/>
      <c r="C21" s="69" t="s">
        <v>427</v>
      </c>
      <c r="D21" s="117" t="s">
        <v>257</v>
      </c>
      <c r="E21" s="98" t="s">
        <v>255</v>
      </c>
      <c r="F21" s="99"/>
      <c r="G21" s="53">
        <v>44274</v>
      </c>
      <c r="H21" s="74"/>
      <c r="I21" s="112" t="s">
        <v>257</v>
      </c>
      <c r="J21" s="98" t="s">
        <v>414</v>
      </c>
      <c r="K21" s="112">
        <v>44277</v>
      </c>
      <c r="L21" s="74"/>
      <c r="M21" s="145">
        <v>44283</v>
      </c>
      <c r="N21" s="146">
        <v>44309</v>
      </c>
      <c r="O21" s="147">
        <v>44315</v>
      </c>
      <c r="P21" s="72"/>
    </row>
    <row r="22" spans="1:33" ht="26.1" customHeight="1" x14ac:dyDescent="0.2">
      <c r="A22" s="89" t="s">
        <v>325</v>
      </c>
      <c r="B22" s="68"/>
      <c r="C22" s="69" t="s">
        <v>428</v>
      </c>
      <c r="D22" s="117" t="s">
        <v>257</v>
      </c>
      <c r="E22" s="98" t="s">
        <v>416</v>
      </c>
      <c r="F22" s="99"/>
      <c r="G22" s="53">
        <v>44279</v>
      </c>
      <c r="H22" s="74"/>
      <c r="I22" s="112" t="s">
        <v>257</v>
      </c>
      <c r="J22" s="98" t="s">
        <v>416</v>
      </c>
      <c r="K22" s="112">
        <v>44279</v>
      </c>
      <c r="L22" s="74"/>
      <c r="M22" s="145">
        <v>44284</v>
      </c>
      <c r="N22" s="146">
        <v>44310</v>
      </c>
      <c r="O22" s="147">
        <v>44316</v>
      </c>
      <c r="P22" s="72"/>
    </row>
    <row r="23" spans="1:33" ht="25.5" customHeight="1" x14ac:dyDescent="0.2">
      <c r="A23" s="159" t="s">
        <v>53</v>
      </c>
      <c r="B23" s="160"/>
      <c r="C23" s="161" t="s">
        <v>429</v>
      </c>
      <c r="D23" s="162" t="s">
        <v>257</v>
      </c>
      <c r="E23" s="163" t="s">
        <v>394</v>
      </c>
      <c r="F23" s="164"/>
      <c r="G23" s="54">
        <v>44280</v>
      </c>
      <c r="H23" s="165"/>
      <c r="I23" s="166" t="s">
        <v>257</v>
      </c>
      <c r="J23" s="163" t="s">
        <v>430</v>
      </c>
      <c r="K23" s="166">
        <v>44280</v>
      </c>
      <c r="L23" s="165"/>
      <c r="M23" s="167">
        <v>44288</v>
      </c>
      <c r="N23" s="168">
        <v>44314</v>
      </c>
      <c r="O23" s="169">
        <v>44320</v>
      </c>
      <c r="P23" s="72"/>
    </row>
    <row r="24" spans="1:33" ht="24.75" customHeight="1" x14ac:dyDescent="0.2">
      <c r="A24" s="170" t="s">
        <v>321</v>
      </c>
      <c r="B24" s="172"/>
      <c r="C24" s="173" t="s">
        <v>431</v>
      </c>
      <c r="D24" s="112" t="s">
        <v>257</v>
      </c>
      <c r="E24" s="171" t="s">
        <v>256</v>
      </c>
      <c r="F24" s="174"/>
      <c r="G24" s="112">
        <v>44281</v>
      </c>
      <c r="H24" s="175"/>
      <c r="I24" s="112" t="s">
        <v>257</v>
      </c>
      <c r="J24" s="103" t="s">
        <v>432</v>
      </c>
      <c r="K24" s="112">
        <v>44284</v>
      </c>
      <c r="L24" s="175"/>
      <c r="M24" s="145">
        <v>44290</v>
      </c>
      <c r="N24" s="145">
        <v>44316</v>
      </c>
      <c r="O24" s="176">
        <v>44322</v>
      </c>
      <c r="P24" s="72"/>
    </row>
    <row r="25" spans="1:33" ht="13.5" customHeight="1" x14ac:dyDescent="0.2">
      <c r="A25" s="67"/>
      <c r="B25" s="18"/>
      <c r="J25" s="90"/>
      <c r="K25" s="90"/>
      <c r="L25" s="54"/>
      <c r="M25" s="54"/>
      <c r="N25" s="54"/>
      <c r="O25" s="54"/>
      <c r="P25" s="72"/>
    </row>
    <row r="26" spans="1:33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08"/>
      <c r="P26" s="108"/>
    </row>
    <row r="27" spans="1:33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8"/>
      <c r="P27" s="108"/>
      <c r="Q27"/>
    </row>
    <row r="28" spans="1:33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5"/>
      <c r="P28" s="15"/>
      <c r="Q28"/>
      <c r="R28"/>
      <c r="S28"/>
      <c r="T28"/>
      <c r="U28"/>
      <c r="V28"/>
      <c r="W28" s="15"/>
      <c r="X28" s="15"/>
      <c r="Y28" s="15"/>
      <c r="Z28"/>
      <c r="AA28"/>
      <c r="AB28"/>
      <c r="AC28"/>
      <c r="AD28"/>
      <c r="AE28"/>
      <c r="AF28" s="90"/>
      <c r="AG28" s="90"/>
    </row>
    <row r="29" spans="1:33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5"/>
      <c r="R29"/>
      <c r="S29" s="91"/>
      <c r="T29"/>
      <c r="U29"/>
      <c r="V29"/>
      <c r="W29" s="15"/>
      <c r="X29" s="15"/>
      <c r="Y29" s="15"/>
      <c r="Z29" s="91"/>
      <c r="AA29"/>
      <c r="AB29"/>
      <c r="AC29"/>
      <c r="AD29" s="92"/>
      <c r="AE29" s="1"/>
      <c r="AF29" s="90"/>
      <c r="AG29" s="90"/>
    </row>
    <row r="30" spans="1:33" s="33" customFormat="1" ht="12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9"/>
      <c r="R30"/>
      <c r="S30" s="10"/>
      <c r="T30"/>
      <c r="U30"/>
      <c r="V30"/>
      <c r="W30" s="15"/>
      <c r="X30" s="93"/>
      <c r="Y30" s="93"/>
      <c r="Z30" s="91"/>
      <c r="AA30"/>
      <c r="AB30"/>
      <c r="AC30"/>
      <c r="AD30" s="92"/>
      <c r="AE30"/>
      <c r="AF30" s="90"/>
      <c r="AG30" s="90"/>
    </row>
    <row r="31" spans="1:33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/>
      <c r="Q31"/>
      <c r="R31"/>
      <c r="S31" s="10"/>
      <c r="T31"/>
      <c r="U31"/>
      <c r="V31"/>
      <c r="W31"/>
      <c r="X31" s="94"/>
      <c r="Y31" s="94"/>
      <c r="Z31" s="15"/>
      <c r="AA31"/>
      <c r="AB31"/>
      <c r="AC31"/>
      <c r="AD31" s="92"/>
      <c r="AE31" s="4"/>
      <c r="AF31" s="32"/>
      <c r="AG31" s="32"/>
    </row>
    <row r="32" spans="1:33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/>
      <c r="Q32"/>
      <c r="R32"/>
      <c r="S32"/>
      <c r="T32"/>
      <c r="U32"/>
      <c r="V32"/>
      <c r="W32" s="15"/>
      <c r="X32" s="15"/>
      <c r="Y32" s="15"/>
      <c r="Z32" s="15"/>
      <c r="AA32" s="96"/>
      <c r="AB32" s="96"/>
      <c r="AC32" s="97"/>
      <c r="AD32"/>
      <c r="AE32" s="1"/>
      <c r="AF32" s="32"/>
      <c r="AG32" s="32"/>
    </row>
    <row r="33" spans="1:17" s="59" customFormat="1" ht="12.75" customHeight="1" x14ac:dyDescent="0.2">
      <c r="A33" s="49"/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/>
      <c r="Q33"/>
    </row>
    <row r="34" spans="1:17" s="59" customFormat="1" ht="13.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</row>
    <row r="35" spans="1:17" s="59" customFormat="1" ht="11.2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7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</row>
    <row r="37" spans="1:17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</row>
    <row r="38" spans="1:17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</row>
    <row r="39" spans="1:17" ht="24.75" customHeight="1" x14ac:dyDescent="0.2">
      <c r="A39" s="18" t="s">
        <v>126</v>
      </c>
      <c r="B39" s="18"/>
      <c r="C39" s="9"/>
      <c r="D39" s="60"/>
    </row>
  </sheetData>
  <mergeCells count="10">
    <mergeCell ref="A10:B10"/>
    <mergeCell ref="D10:F10"/>
    <mergeCell ref="G10:H10"/>
    <mergeCell ref="I10:J10"/>
    <mergeCell ref="K10:L10"/>
    <mergeCell ref="A1:G3"/>
    <mergeCell ref="P4:Q4"/>
    <mergeCell ref="A5:C6"/>
    <mergeCell ref="D9:H9"/>
    <mergeCell ref="I9:L9"/>
  </mergeCells>
  <phoneticPr fontId="2"/>
  <hyperlinks>
    <hyperlink ref="Q3" r:id="rId1" xr:uid="{AFA171BA-33AD-4B74-B5AE-D8EA59DD4328}"/>
  </hyperlinks>
  <pageMargins left="0.43307086614173229" right="0.23622047244094491" top="0.35433070866141736" bottom="0.35433070866141736" header="0" footer="0"/>
  <pageSetup paperSize="9" scale="65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D5B5C-AAC5-4C9E-B27B-3CCBC0BD35B7}">
  <dimension ref="A1:AB39"/>
  <sheetViews>
    <sheetView topLeftCell="E1" workbookViewId="0">
      <selection activeCell="J12" sqref="J12"/>
    </sheetView>
  </sheetViews>
  <sheetFormatPr defaultRowHeight="13.5" x14ac:dyDescent="0.15"/>
  <cols>
    <col min="1" max="1" width="18.625" customWidth="1"/>
    <col min="2" max="2" width="19.625" customWidth="1"/>
    <col min="3" max="3" width="15.625" customWidth="1"/>
    <col min="4" max="4" width="20.875" bestFit="1" customWidth="1"/>
    <col min="5" max="5" width="15.375" bestFit="1" customWidth="1"/>
    <col min="6" max="6" width="20.625" bestFit="1" customWidth="1"/>
    <col min="7" max="7" width="20.375" customWidth="1"/>
    <col min="8" max="8" width="16.375" customWidth="1"/>
    <col min="9" max="9" width="22.625" customWidth="1"/>
    <col min="10" max="10" width="27.625" customWidth="1"/>
    <col min="11" max="11" width="9.375" hidden="1" customWidth="1"/>
    <col min="12" max="12" width="5.75" hidden="1" customWidth="1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44292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177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178" t="s">
        <v>6</v>
      </c>
      <c r="E10" s="178" t="s">
        <v>5</v>
      </c>
      <c r="F10" s="178" t="s">
        <v>6</v>
      </c>
      <c r="G10" s="178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434</v>
      </c>
      <c r="B11" s="68"/>
      <c r="C11" s="69" t="s">
        <v>435</v>
      </c>
      <c r="D11" s="188" t="s">
        <v>448</v>
      </c>
      <c r="E11" s="185" t="s">
        <v>461</v>
      </c>
      <c r="F11" s="181" t="s">
        <v>448</v>
      </c>
      <c r="G11" s="181" t="s">
        <v>461</v>
      </c>
      <c r="H11" s="145" t="s">
        <v>487</v>
      </c>
      <c r="I11" s="146">
        <f>DATE(2021,4,5+25)</f>
        <v>44316</v>
      </c>
      <c r="J11" s="147">
        <f>DATE(2021,4,30+5)</f>
        <v>44321</v>
      </c>
      <c r="K11" s="72"/>
    </row>
    <row r="12" spans="1:12" ht="26.1" customHeight="1" x14ac:dyDescent="0.2">
      <c r="A12" s="89" t="s">
        <v>281</v>
      </c>
      <c r="B12" s="68"/>
      <c r="C12" s="69" t="s">
        <v>436</v>
      </c>
      <c r="D12" s="145" t="s">
        <v>449</v>
      </c>
      <c r="E12" s="185" t="s">
        <v>462</v>
      </c>
      <c r="F12" s="181" t="s">
        <v>474</v>
      </c>
      <c r="G12" s="181" t="s">
        <v>462</v>
      </c>
      <c r="H12" s="145" t="s">
        <v>466</v>
      </c>
      <c r="I12" s="146">
        <f>DATE(2021,4,9+25)</f>
        <v>44320</v>
      </c>
      <c r="J12" s="147">
        <f>DATE(2021,5,4+5)</f>
        <v>44325</v>
      </c>
      <c r="K12" s="72"/>
    </row>
    <row r="13" spans="1:12" ht="26.1" customHeight="1" x14ac:dyDescent="0.2">
      <c r="A13" s="89" t="s">
        <v>279</v>
      </c>
      <c r="B13" s="68"/>
      <c r="C13" s="69" t="s">
        <v>437</v>
      </c>
      <c r="D13" s="145" t="s">
        <v>450</v>
      </c>
      <c r="E13" s="185" t="s">
        <v>463</v>
      </c>
      <c r="F13" s="181" t="s">
        <v>475</v>
      </c>
      <c r="G13" s="181" t="s">
        <v>482</v>
      </c>
      <c r="H13" s="145" t="s">
        <v>488</v>
      </c>
      <c r="I13" s="146">
        <f>DATE(2021,4,11+25)</f>
        <v>44322</v>
      </c>
      <c r="J13" s="147">
        <f>DATE(2021,5,6+5)</f>
        <v>44327</v>
      </c>
      <c r="K13" s="72"/>
    </row>
    <row r="14" spans="1:12" ht="26.1" customHeight="1" x14ac:dyDescent="0.2">
      <c r="A14" s="89" t="s">
        <v>434</v>
      </c>
      <c r="B14" s="68"/>
      <c r="C14" s="69" t="s">
        <v>438</v>
      </c>
      <c r="D14" s="145" t="s">
        <v>451</v>
      </c>
      <c r="E14" s="145" t="s">
        <v>464</v>
      </c>
      <c r="F14" s="184" t="s">
        <v>451</v>
      </c>
      <c r="G14" s="182" t="s">
        <v>464</v>
      </c>
      <c r="H14" s="145" t="s">
        <v>489</v>
      </c>
      <c r="I14" s="146">
        <f>DATE(2021,4,12+25)</f>
        <v>44323</v>
      </c>
      <c r="J14" s="147">
        <f>DATE(2021,5,7+5)</f>
        <v>44328</v>
      </c>
      <c r="K14" s="72"/>
    </row>
    <row r="15" spans="1:12" ht="26.1" customHeight="1" x14ac:dyDescent="0.2">
      <c r="A15" s="89" t="s">
        <v>281</v>
      </c>
      <c r="B15" s="68"/>
      <c r="C15" s="69" t="s">
        <v>439</v>
      </c>
      <c r="D15" s="145" t="s">
        <v>452</v>
      </c>
      <c r="E15" s="186" t="s">
        <v>465</v>
      </c>
      <c r="F15" s="184" t="s">
        <v>476</v>
      </c>
      <c r="G15" s="181" t="s">
        <v>465</v>
      </c>
      <c r="H15" s="145" t="s">
        <v>469</v>
      </c>
      <c r="I15" s="146">
        <f>DATE(2021,4,16+25)</f>
        <v>44327</v>
      </c>
      <c r="J15" s="147">
        <f>DATE(2021,5,11+5)</f>
        <v>44332</v>
      </c>
      <c r="K15" s="72"/>
    </row>
    <row r="16" spans="1:12" ht="26.1" customHeight="1" x14ac:dyDescent="0.2">
      <c r="A16" s="89" t="s">
        <v>279</v>
      </c>
      <c r="B16" s="68"/>
      <c r="C16" s="69" t="s">
        <v>440</v>
      </c>
      <c r="D16" s="145" t="s">
        <v>453</v>
      </c>
      <c r="E16" s="186" t="s">
        <v>466</v>
      </c>
      <c r="F16" s="184" t="s">
        <v>477</v>
      </c>
      <c r="G16" s="181" t="s">
        <v>483</v>
      </c>
      <c r="H16" s="145" t="s">
        <v>490</v>
      </c>
      <c r="I16" s="146">
        <f>DATE(2021,4,18+25)</f>
        <v>44329</v>
      </c>
      <c r="J16" s="147">
        <f>DATE(2021,5,13+5)</f>
        <v>44334</v>
      </c>
      <c r="K16" s="72"/>
    </row>
    <row r="17" spans="1:28" ht="26.1" customHeight="1" x14ac:dyDescent="0.2">
      <c r="A17" s="89" t="s">
        <v>434</v>
      </c>
      <c r="B17" s="68"/>
      <c r="C17" s="69" t="s">
        <v>441</v>
      </c>
      <c r="D17" s="145" t="s">
        <v>454</v>
      </c>
      <c r="E17" s="186" t="s">
        <v>467</v>
      </c>
      <c r="F17" s="184" t="s">
        <v>454</v>
      </c>
      <c r="G17" s="181" t="s">
        <v>467</v>
      </c>
      <c r="H17" s="145" t="s">
        <v>491</v>
      </c>
      <c r="I17" s="146">
        <f>DATE(2021,4,19+25)</f>
        <v>44330</v>
      </c>
      <c r="J17" s="147">
        <f>DATE(2021,5,14+5)</f>
        <v>44335</v>
      </c>
      <c r="K17" s="72"/>
    </row>
    <row r="18" spans="1:28" ht="26.1" customHeight="1" x14ac:dyDescent="0.2">
      <c r="A18" s="89" t="s">
        <v>281</v>
      </c>
      <c r="B18" s="68"/>
      <c r="C18" s="69" t="s">
        <v>442</v>
      </c>
      <c r="D18" s="145" t="s">
        <v>455</v>
      </c>
      <c r="E18" s="186" t="s">
        <v>468</v>
      </c>
      <c r="F18" s="184" t="s">
        <v>478</v>
      </c>
      <c r="G18" s="181" t="s">
        <v>468</v>
      </c>
      <c r="H18" s="145" t="s">
        <v>472</v>
      </c>
      <c r="I18" s="146">
        <f>DATE(2021,4,23+25)</f>
        <v>44334</v>
      </c>
      <c r="J18" s="147">
        <f>DATE(2021,5,18+5)</f>
        <v>44339</v>
      </c>
      <c r="K18" s="72"/>
    </row>
    <row r="19" spans="1:28" ht="26.1" customHeight="1" x14ac:dyDescent="0.2">
      <c r="A19" s="89" t="s">
        <v>279</v>
      </c>
      <c r="B19" s="68"/>
      <c r="C19" s="69" t="s">
        <v>443</v>
      </c>
      <c r="D19" s="145" t="s">
        <v>456</v>
      </c>
      <c r="E19" s="186" t="s">
        <v>469</v>
      </c>
      <c r="F19" s="184" t="s">
        <v>479</v>
      </c>
      <c r="G19" s="181" t="s">
        <v>484</v>
      </c>
      <c r="H19" s="145" t="s">
        <v>492</v>
      </c>
      <c r="I19" s="146">
        <f>DATE(2021,4,25+25)</f>
        <v>44336</v>
      </c>
      <c r="J19" s="147">
        <f>DATE(2021,5,20+5)</f>
        <v>44341</v>
      </c>
      <c r="K19" s="72"/>
    </row>
    <row r="20" spans="1:28" ht="26.1" customHeight="1" x14ac:dyDescent="0.2">
      <c r="A20" s="89" t="s">
        <v>434</v>
      </c>
      <c r="B20" s="68"/>
      <c r="C20" s="69" t="s">
        <v>444</v>
      </c>
      <c r="D20" s="145" t="s">
        <v>457</v>
      </c>
      <c r="E20" s="185" t="s">
        <v>470</v>
      </c>
      <c r="F20" s="181" t="s">
        <v>457</v>
      </c>
      <c r="G20" s="181" t="s">
        <v>470</v>
      </c>
      <c r="H20" s="145" t="s">
        <v>493</v>
      </c>
      <c r="I20" s="146">
        <f>DATE(2021,4,26+25)</f>
        <v>44337</v>
      </c>
      <c r="J20" s="147">
        <f>DATE(2021,5,21+5)</f>
        <v>44342</v>
      </c>
      <c r="K20" s="72"/>
    </row>
    <row r="21" spans="1:28" ht="26.1" customHeight="1" x14ac:dyDescent="0.2">
      <c r="A21" s="89" t="s">
        <v>281</v>
      </c>
      <c r="B21" s="68"/>
      <c r="C21" s="69" t="s">
        <v>445</v>
      </c>
      <c r="D21" s="145" t="s">
        <v>458</v>
      </c>
      <c r="E21" s="185" t="s">
        <v>471</v>
      </c>
      <c r="F21" s="181" t="s">
        <v>480</v>
      </c>
      <c r="G21" s="181" t="s">
        <v>471</v>
      </c>
      <c r="H21" s="145" t="s">
        <v>494</v>
      </c>
      <c r="I21" s="146">
        <f>DATE(2021,4,30+25)</f>
        <v>44341</v>
      </c>
      <c r="J21" s="147">
        <f>DATE(2021,5,25+5)</f>
        <v>44346</v>
      </c>
      <c r="K21" s="72"/>
    </row>
    <row r="22" spans="1:28" ht="26.1" customHeight="1" x14ac:dyDescent="0.2">
      <c r="A22" s="89" t="s">
        <v>279</v>
      </c>
      <c r="B22" s="68"/>
      <c r="C22" s="69" t="s">
        <v>446</v>
      </c>
      <c r="D22" s="145" t="s">
        <v>459</v>
      </c>
      <c r="E22" s="185" t="s">
        <v>472</v>
      </c>
      <c r="F22" s="181" t="s">
        <v>481</v>
      </c>
      <c r="G22" s="181" t="s">
        <v>485</v>
      </c>
      <c r="H22" s="145" t="s">
        <v>495</v>
      </c>
      <c r="I22" s="146">
        <f>DATE(2021,5,2+25)</f>
        <v>44343</v>
      </c>
      <c r="J22" s="147">
        <f>DATE(2021,5,27+5)</f>
        <v>44348</v>
      </c>
      <c r="K22" s="72"/>
    </row>
    <row r="23" spans="1:28" ht="25.5" customHeight="1" x14ac:dyDescent="0.2">
      <c r="A23" s="159" t="s">
        <v>434</v>
      </c>
      <c r="B23" s="160"/>
      <c r="C23" s="161" t="s">
        <v>447</v>
      </c>
      <c r="D23" s="145" t="s">
        <v>460</v>
      </c>
      <c r="E23" s="187" t="s">
        <v>473</v>
      </c>
      <c r="F23" s="183" t="s">
        <v>460</v>
      </c>
      <c r="G23" s="183" t="s">
        <v>486</v>
      </c>
      <c r="H23" s="167" t="s">
        <v>496</v>
      </c>
      <c r="I23" s="146">
        <f>DATE(2021,5,3+25)</f>
        <v>44344</v>
      </c>
      <c r="J23" s="147">
        <f>DATE(2021,5,28+5)</f>
        <v>44349</v>
      </c>
      <c r="K23" s="72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5"/>
      <c r="J24" s="176"/>
      <c r="K24" s="72"/>
    </row>
    <row r="25" spans="1:28" ht="13.5" customHeight="1" x14ac:dyDescent="0.2">
      <c r="A25" s="67"/>
      <c r="B25" s="18"/>
      <c r="G25" s="90"/>
      <c r="H25" s="54"/>
      <c r="I25" s="54"/>
      <c r="J25" s="54"/>
      <c r="K25" s="72"/>
    </row>
    <row r="26" spans="1:28" ht="26.25" customHeight="1" x14ac:dyDescent="0.2">
      <c r="A26" s="15"/>
      <c r="B26" s="92" t="s">
        <v>77</v>
      </c>
      <c r="C26" s="91" t="s">
        <v>78</v>
      </c>
      <c r="E26" s="92"/>
      <c r="F26" s="114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/>
      <c r="E27" s="92"/>
      <c r="F27" s="10"/>
      <c r="G27" s="10" t="s">
        <v>89</v>
      </c>
      <c r="H27" s="108"/>
      <c r="I27" s="10"/>
      <c r="J27" s="108"/>
      <c r="K27" s="108"/>
      <c r="L27"/>
    </row>
    <row r="28" spans="1:28" s="33" customFormat="1" ht="26.25" customHeight="1" x14ac:dyDescent="0.2">
      <c r="A28" s="94"/>
      <c r="B28" s="94"/>
      <c r="C28" s="15" t="s">
        <v>80</v>
      </c>
      <c r="D28"/>
      <c r="E28" s="92"/>
      <c r="F28" s="10"/>
      <c r="G28" s="116" t="s">
        <v>90</v>
      </c>
      <c r="H28" s="15"/>
      <c r="I28" s="109"/>
      <c r="J28" s="15"/>
      <c r="K28" s="15"/>
      <c r="L28"/>
      <c r="M28"/>
      <c r="N28"/>
      <c r="O28"/>
      <c r="P28"/>
      <c r="Q28"/>
      <c r="R28" s="15"/>
      <c r="S28" s="15"/>
      <c r="T28" s="15"/>
      <c r="U28"/>
      <c r="V28"/>
      <c r="W28"/>
      <c r="X28"/>
      <c r="Y28"/>
      <c r="Z28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/>
      <c r="F29" s="10"/>
      <c r="G29" s="15" t="s">
        <v>91</v>
      </c>
      <c r="H29" s="15"/>
      <c r="I29" s="109"/>
      <c r="J29" s="15"/>
      <c r="K29" s="15"/>
      <c r="L29" s="5"/>
      <c r="M29"/>
      <c r="N29" s="91"/>
      <c r="O29"/>
      <c r="P29"/>
      <c r="Q29"/>
      <c r="R29" s="15"/>
      <c r="S29" s="15"/>
      <c r="T29" s="15"/>
      <c r="U29" s="91"/>
      <c r="V29"/>
      <c r="W29"/>
      <c r="X29"/>
      <c r="Y29" s="92"/>
      <c r="Z29" s="1"/>
      <c r="AA29" s="90"/>
      <c r="AB29" s="90"/>
    </row>
    <row r="30" spans="1:28" s="33" customFormat="1" ht="12.75" customHeight="1" x14ac:dyDescent="0.2">
      <c r="A30"/>
      <c r="B30"/>
      <c r="C30"/>
      <c r="D30"/>
      <c r="E30"/>
      <c r="F30"/>
      <c r="G30"/>
      <c r="H30"/>
      <c r="I30"/>
      <c r="J30" s="19"/>
      <c r="M30"/>
      <c r="N30" s="10"/>
      <c r="O30"/>
      <c r="P30"/>
      <c r="Q30"/>
      <c r="R30" s="15"/>
      <c r="S30" s="93"/>
      <c r="T30" s="93"/>
      <c r="U30" s="91"/>
      <c r="V30"/>
      <c r="W30"/>
      <c r="X30"/>
      <c r="Y30" s="92"/>
      <c r="Z30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/>
      <c r="L31"/>
      <c r="M31"/>
      <c r="N31" s="10"/>
      <c r="O31"/>
      <c r="P31"/>
      <c r="Q31"/>
      <c r="R31"/>
      <c r="S31" s="94"/>
      <c r="T31" s="94"/>
      <c r="U31" s="15"/>
      <c r="V31"/>
      <c r="W31"/>
      <c r="X31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/>
      <c r="L32"/>
      <c r="M32"/>
      <c r="N32"/>
      <c r="O32"/>
      <c r="P32"/>
      <c r="Q32"/>
      <c r="R32" s="15"/>
      <c r="S32" s="15"/>
      <c r="T32" s="15"/>
      <c r="U32" s="15"/>
      <c r="V32" s="96"/>
      <c r="W32" s="96"/>
      <c r="X32" s="97"/>
      <c r="Y32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/>
      <c r="L3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C89EE034-AD03-47D1-97CE-9D1D8EB57FB9}"/>
  </hyperlinks>
  <pageMargins left="0.43307086614173229" right="0.23622047244094491" top="0.35433070866141736" bottom="0.35433070866141736" header="0" footer="0"/>
  <pageSetup paperSize="9" scale="65" fitToHeight="0" orientation="landscape" horizontalDpi="4294967293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4EA5-A748-4A44-B925-22BF0E4C2946}">
  <sheetPr>
    <tabColor theme="0"/>
  </sheetPr>
  <dimension ref="A1:AB39"/>
  <sheetViews>
    <sheetView topLeftCell="C7" workbookViewId="0">
      <selection activeCell="H11" sqref="H11"/>
    </sheetView>
  </sheetViews>
  <sheetFormatPr defaultRowHeight="13.5" x14ac:dyDescent="0.15"/>
  <cols>
    <col min="1" max="1" width="18.625" customWidth="1"/>
    <col min="2" max="2" width="19.625" customWidth="1"/>
    <col min="3" max="3" width="15.625" customWidth="1"/>
    <col min="4" max="4" width="20.875" bestFit="1" customWidth="1"/>
    <col min="5" max="5" width="15.375" bestFit="1" customWidth="1"/>
    <col min="6" max="6" width="20.625" bestFit="1" customWidth="1"/>
    <col min="7" max="7" width="20.375" customWidth="1"/>
    <col min="8" max="8" width="16.375" customWidth="1"/>
    <col min="9" max="9" width="22.625" customWidth="1"/>
    <col min="10" max="10" width="27.625" customWidth="1"/>
    <col min="11" max="11" width="9.375" hidden="1" customWidth="1"/>
    <col min="12" max="12" width="5.75" hidden="1" customWidth="1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44308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179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180" t="s">
        <v>6</v>
      </c>
      <c r="E10" s="180" t="s">
        <v>5</v>
      </c>
      <c r="F10" s="180" t="s">
        <v>6</v>
      </c>
      <c r="G10" s="180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434</v>
      </c>
      <c r="B11" s="68"/>
      <c r="C11" s="69" t="s">
        <v>497</v>
      </c>
      <c r="D11" s="188" t="s">
        <v>509</v>
      </c>
      <c r="E11" s="185" t="s">
        <v>494</v>
      </c>
      <c r="F11" s="181" t="s">
        <v>509</v>
      </c>
      <c r="G11" s="181" t="s">
        <v>494</v>
      </c>
      <c r="H11" s="145" t="s">
        <v>544</v>
      </c>
      <c r="I11" s="146">
        <f>DATE(2021,5,10+25)</f>
        <v>44351</v>
      </c>
      <c r="J11" s="147">
        <f>DATE(2021,6,4+5)</f>
        <v>44356</v>
      </c>
      <c r="K11" s="72"/>
    </row>
    <row r="12" spans="1:12" ht="26.1" customHeight="1" x14ac:dyDescent="0.2">
      <c r="A12" s="89" t="s">
        <v>281</v>
      </c>
      <c r="B12" s="68"/>
      <c r="C12" s="69" t="s">
        <v>498</v>
      </c>
      <c r="D12" s="145" t="s">
        <v>510</v>
      </c>
      <c r="E12" s="185" t="s">
        <v>521</v>
      </c>
      <c r="F12" s="181" t="s">
        <v>532</v>
      </c>
      <c r="G12" s="181" t="s">
        <v>521</v>
      </c>
      <c r="H12" s="145" t="s">
        <v>525</v>
      </c>
      <c r="I12" s="146">
        <f>DATE(2021,5,14+25)</f>
        <v>44355</v>
      </c>
      <c r="J12" s="147">
        <f>DATE(2021,6,8+5)</f>
        <v>44360</v>
      </c>
      <c r="K12" s="72"/>
    </row>
    <row r="13" spans="1:12" ht="26.1" customHeight="1" x14ac:dyDescent="0.2">
      <c r="A13" s="89" t="s">
        <v>279</v>
      </c>
      <c r="B13" s="68"/>
      <c r="C13" s="69" t="s">
        <v>499</v>
      </c>
      <c r="D13" s="145" t="s">
        <v>511</v>
      </c>
      <c r="E13" s="185" t="s">
        <v>522</v>
      </c>
      <c r="F13" s="181" t="s">
        <v>533</v>
      </c>
      <c r="G13" s="181" t="s">
        <v>540</v>
      </c>
      <c r="H13" s="145" t="s">
        <v>545</v>
      </c>
      <c r="I13" s="146">
        <f>DATE(2021,5,16+25)</f>
        <v>44357</v>
      </c>
      <c r="J13" s="147">
        <f>DATE(2021,6,10+5)</f>
        <v>44362</v>
      </c>
      <c r="K13" s="72"/>
    </row>
    <row r="14" spans="1:12" ht="26.1" customHeight="1" x14ac:dyDescent="0.2">
      <c r="A14" s="89" t="s">
        <v>434</v>
      </c>
      <c r="B14" s="68"/>
      <c r="C14" s="69" t="s">
        <v>500</v>
      </c>
      <c r="D14" s="145" t="s">
        <v>512</v>
      </c>
      <c r="E14" s="145" t="s">
        <v>523</v>
      </c>
      <c r="F14" s="184" t="s">
        <v>512</v>
      </c>
      <c r="G14" s="182" t="s">
        <v>523</v>
      </c>
      <c r="H14" s="145" t="s">
        <v>546</v>
      </c>
      <c r="I14" s="146">
        <f>DATE(2021,5,17+25)</f>
        <v>44358</v>
      </c>
      <c r="J14" s="147">
        <f>DATE(2021,6,11+5)</f>
        <v>44363</v>
      </c>
      <c r="K14" s="72"/>
    </row>
    <row r="15" spans="1:12" ht="26.1" customHeight="1" x14ac:dyDescent="0.2">
      <c r="A15" s="89" t="s">
        <v>281</v>
      </c>
      <c r="B15" s="68"/>
      <c r="C15" s="69" t="s">
        <v>501</v>
      </c>
      <c r="D15" s="145" t="s">
        <v>513</v>
      </c>
      <c r="E15" s="186" t="s">
        <v>524</v>
      </c>
      <c r="F15" s="184" t="s">
        <v>534</v>
      </c>
      <c r="G15" s="181" t="s">
        <v>524</v>
      </c>
      <c r="H15" s="145" t="s">
        <v>528</v>
      </c>
      <c r="I15" s="146">
        <f>DATE(2021,5,21+25)</f>
        <v>44362</v>
      </c>
      <c r="J15" s="147">
        <f>DATE(2021,6,15+5)</f>
        <v>44367</v>
      </c>
      <c r="K15" s="72"/>
    </row>
    <row r="16" spans="1:12" ht="26.1" customHeight="1" x14ac:dyDescent="0.2">
      <c r="A16" s="89" t="s">
        <v>279</v>
      </c>
      <c r="B16" s="68"/>
      <c r="C16" s="69" t="s">
        <v>502</v>
      </c>
      <c r="D16" s="145" t="s">
        <v>514</v>
      </c>
      <c r="E16" s="186" t="s">
        <v>525</v>
      </c>
      <c r="F16" s="184" t="s">
        <v>535</v>
      </c>
      <c r="G16" s="181" t="s">
        <v>541</v>
      </c>
      <c r="H16" s="145" t="s">
        <v>547</v>
      </c>
      <c r="I16" s="146">
        <f>DATE(2021,5,23+25)</f>
        <v>44364</v>
      </c>
      <c r="J16" s="147">
        <f>DATE(2021,6,17+5)</f>
        <v>44369</v>
      </c>
      <c r="K16" s="72"/>
    </row>
    <row r="17" spans="1:28" ht="26.1" customHeight="1" x14ac:dyDescent="0.2">
      <c r="A17" s="89" t="s">
        <v>434</v>
      </c>
      <c r="B17" s="68"/>
      <c r="C17" s="69" t="s">
        <v>503</v>
      </c>
      <c r="D17" s="145" t="s">
        <v>515</v>
      </c>
      <c r="E17" s="186" t="s">
        <v>526</v>
      </c>
      <c r="F17" s="184" t="s">
        <v>515</v>
      </c>
      <c r="G17" s="181" t="s">
        <v>526</v>
      </c>
      <c r="H17" s="145" t="s">
        <v>548</v>
      </c>
      <c r="I17" s="146">
        <f>DATE(2021,5,24+25)</f>
        <v>44365</v>
      </c>
      <c r="J17" s="147">
        <f>DATE(2021,6,18+5)</f>
        <v>44370</v>
      </c>
      <c r="K17" s="72"/>
    </row>
    <row r="18" spans="1:28" ht="26.1" customHeight="1" x14ac:dyDescent="0.2">
      <c r="A18" s="89" t="s">
        <v>281</v>
      </c>
      <c r="B18" s="68"/>
      <c r="C18" s="69" t="s">
        <v>504</v>
      </c>
      <c r="D18" s="145" t="s">
        <v>516</v>
      </c>
      <c r="E18" s="186" t="s">
        <v>527</v>
      </c>
      <c r="F18" s="184" t="s">
        <v>536</v>
      </c>
      <c r="G18" s="181" t="s">
        <v>527</v>
      </c>
      <c r="H18" s="145" t="s">
        <v>531</v>
      </c>
      <c r="I18" s="146">
        <f>DATE(2021,5,28+25)</f>
        <v>44369</v>
      </c>
      <c r="J18" s="147">
        <f>DATE(2021,6,22+5)</f>
        <v>44374</v>
      </c>
      <c r="K18" s="72"/>
    </row>
    <row r="19" spans="1:28" ht="26.1" customHeight="1" x14ac:dyDescent="0.2">
      <c r="A19" s="89" t="s">
        <v>279</v>
      </c>
      <c r="B19" s="68"/>
      <c r="C19" s="69" t="s">
        <v>505</v>
      </c>
      <c r="D19" s="145" t="s">
        <v>517</v>
      </c>
      <c r="E19" s="186" t="s">
        <v>528</v>
      </c>
      <c r="F19" s="184" t="s">
        <v>537</v>
      </c>
      <c r="G19" s="181" t="s">
        <v>542</v>
      </c>
      <c r="H19" s="145" t="s">
        <v>549</v>
      </c>
      <c r="I19" s="146">
        <f>DATE(2021,5,30+25)</f>
        <v>44371</v>
      </c>
      <c r="J19" s="147">
        <f>DATE(2021,6,24+5)</f>
        <v>44376</v>
      </c>
      <c r="K19" s="72"/>
    </row>
    <row r="20" spans="1:28" ht="26.1" customHeight="1" x14ac:dyDescent="0.2">
      <c r="A20" s="89" t="s">
        <v>434</v>
      </c>
      <c r="B20" s="68"/>
      <c r="C20" s="69" t="s">
        <v>506</v>
      </c>
      <c r="D20" s="145" t="s">
        <v>518</v>
      </c>
      <c r="E20" s="185" t="s">
        <v>529</v>
      </c>
      <c r="F20" s="181" t="s">
        <v>518</v>
      </c>
      <c r="G20" s="181" t="s">
        <v>529</v>
      </c>
      <c r="H20" s="145" t="s">
        <v>550</v>
      </c>
      <c r="I20" s="146">
        <f>DATE(2021,5,31+25)</f>
        <v>44372</v>
      </c>
      <c r="J20" s="147">
        <f>DATE(2021,6,25+5)</f>
        <v>44377</v>
      </c>
      <c r="K20" s="72"/>
    </row>
    <row r="21" spans="1:28" ht="26.1" customHeight="1" x14ac:dyDescent="0.2">
      <c r="A21" s="89" t="s">
        <v>281</v>
      </c>
      <c r="B21" s="68"/>
      <c r="C21" s="69" t="s">
        <v>507</v>
      </c>
      <c r="D21" s="145" t="s">
        <v>519</v>
      </c>
      <c r="E21" s="185" t="s">
        <v>530</v>
      </c>
      <c r="F21" s="181" t="s">
        <v>538</v>
      </c>
      <c r="G21" s="181" t="s">
        <v>530</v>
      </c>
      <c r="H21" s="145" t="s">
        <v>551</v>
      </c>
      <c r="I21" s="146">
        <f>DATE(2021,6,4+25)</f>
        <v>44376</v>
      </c>
      <c r="J21" s="147">
        <f>DATE(2021,6,29+5)</f>
        <v>44381</v>
      </c>
      <c r="K21" s="72"/>
    </row>
    <row r="22" spans="1:28" ht="26.1" customHeight="1" x14ac:dyDescent="0.2">
      <c r="A22" s="89" t="s">
        <v>279</v>
      </c>
      <c r="B22" s="68"/>
      <c r="C22" s="69" t="s">
        <v>508</v>
      </c>
      <c r="D22" s="145" t="s">
        <v>520</v>
      </c>
      <c r="E22" s="185" t="s">
        <v>531</v>
      </c>
      <c r="F22" s="181" t="s">
        <v>539</v>
      </c>
      <c r="G22" s="181" t="s">
        <v>543</v>
      </c>
      <c r="H22" s="145" t="s">
        <v>552</v>
      </c>
      <c r="I22" s="146">
        <f>DATE(2021,6,6+25)</f>
        <v>44378</v>
      </c>
      <c r="J22" s="147">
        <f>DATE(2021,7,1+5)</f>
        <v>44383</v>
      </c>
      <c r="K22" s="72"/>
    </row>
    <row r="23" spans="1:28" ht="25.5" customHeight="1" x14ac:dyDescent="0.2">
      <c r="A23" s="159"/>
      <c r="B23" s="160"/>
      <c r="C23" s="161"/>
      <c r="D23" s="145"/>
      <c r="E23" s="187"/>
      <c r="F23" s="183"/>
      <c r="G23" s="183"/>
      <c r="H23" s="167"/>
      <c r="I23" s="146"/>
      <c r="J23" s="147"/>
      <c r="K23" s="72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5"/>
      <c r="J24" s="176"/>
      <c r="K24" s="72"/>
    </row>
    <row r="25" spans="1:28" ht="13.5" customHeight="1" x14ac:dyDescent="0.2">
      <c r="A25" s="67"/>
      <c r="B25" s="18"/>
      <c r="G25" s="90"/>
      <c r="H25" s="54"/>
      <c r="I25" s="54"/>
      <c r="J25" s="54"/>
      <c r="K25" s="72"/>
    </row>
    <row r="26" spans="1:28" ht="26.25" customHeight="1" x14ac:dyDescent="0.2">
      <c r="A26" s="15"/>
      <c r="B26" s="92" t="s">
        <v>77</v>
      </c>
      <c r="C26" s="91" t="s">
        <v>78</v>
      </c>
      <c r="E26" s="92"/>
      <c r="F26" s="114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/>
      <c r="E27" s="92"/>
      <c r="F27" s="10"/>
      <c r="G27" s="10" t="s">
        <v>89</v>
      </c>
      <c r="H27" s="108"/>
      <c r="I27" s="10"/>
      <c r="J27" s="108"/>
      <c r="K27" s="108"/>
      <c r="L27"/>
    </row>
    <row r="28" spans="1:28" s="33" customFormat="1" ht="26.25" customHeight="1" x14ac:dyDescent="0.2">
      <c r="A28" s="94"/>
      <c r="B28" s="94"/>
      <c r="C28" s="15" t="s">
        <v>80</v>
      </c>
      <c r="D28"/>
      <c r="E28" s="92"/>
      <c r="F28" s="10"/>
      <c r="G28" s="116" t="s">
        <v>90</v>
      </c>
      <c r="H28" s="15"/>
      <c r="I28" s="109"/>
      <c r="J28" s="15"/>
      <c r="K28" s="15"/>
      <c r="L28"/>
      <c r="M28"/>
      <c r="N28"/>
      <c r="O28"/>
      <c r="P28"/>
      <c r="Q28"/>
      <c r="R28" s="15"/>
      <c r="S28" s="15"/>
      <c r="T28" s="15"/>
      <c r="U28"/>
      <c r="V28"/>
      <c r="W28"/>
      <c r="X28"/>
      <c r="Y28"/>
      <c r="Z28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/>
      <c r="F29" s="10"/>
      <c r="G29" s="15" t="s">
        <v>91</v>
      </c>
      <c r="H29" s="15"/>
      <c r="I29" s="109"/>
      <c r="J29" s="15"/>
      <c r="K29" s="15"/>
      <c r="L29" s="5"/>
      <c r="M29"/>
      <c r="N29" s="91"/>
      <c r="O29"/>
      <c r="P29"/>
      <c r="Q29"/>
      <c r="R29" s="15"/>
      <c r="S29" s="15"/>
      <c r="T29" s="15"/>
      <c r="U29" s="91"/>
      <c r="V29"/>
      <c r="W29"/>
      <c r="X29"/>
      <c r="Y29" s="92"/>
      <c r="Z29" s="1"/>
      <c r="AA29" s="90"/>
      <c r="AB29" s="90"/>
    </row>
    <row r="30" spans="1:28" s="33" customFormat="1" ht="12.75" customHeight="1" x14ac:dyDescent="0.2">
      <c r="A30"/>
      <c r="B30"/>
      <c r="C30"/>
      <c r="D30"/>
      <c r="E30"/>
      <c r="F30"/>
      <c r="G30"/>
      <c r="H30"/>
      <c r="I30"/>
      <c r="J30" s="19"/>
      <c r="M30"/>
      <c r="N30" s="10"/>
      <c r="O30"/>
      <c r="P30"/>
      <c r="Q30"/>
      <c r="R30" s="15"/>
      <c r="S30" s="93"/>
      <c r="T30" s="93"/>
      <c r="U30" s="91"/>
      <c r="V30"/>
      <c r="W30"/>
      <c r="X30"/>
      <c r="Y30" s="92"/>
      <c r="Z30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/>
      <c r="L31"/>
      <c r="M31"/>
      <c r="N31" s="10"/>
      <c r="O31"/>
      <c r="P31"/>
      <c r="Q31"/>
      <c r="R31"/>
      <c r="S31" s="94"/>
      <c r="T31" s="94"/>
      <c r="U31" s="15"/>
      <c r="V31"/>
      <c r="W31"/>
      <c r="X31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/>
      <c r="L32"/>
      <c r="M32"/>
      <c r="N32"/>
      <c r="O32"/>
      <c r="P32"/>
      <c r="Q32"/>
      <c r="R32" s="15"/>
      <c r="S32" s="15"/>
      <c r="T32" s="15"/>
      <c r="U32" s="15"/>
      <c r="V32" s="96"/>
      <c r="W32" s="96"/>
      <c r="X32" s="97"/>
      <c r="Y32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/>
      <c r="L3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A6A33647-052B-4CE7-A6C1-1D16CC34580F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91AE-7170-4C66-84C1-8577CE4004F1}">
  <sheetPr>
    <tabColor theme="0"/>
  </sheetPr>
  <dimension ref="A1:AB39"/>
  <sheetViews>
    <sheetView topLeftCell="E1" workbookViewId="0">
      <selection activeCell="J4" sqref="J4"/>
    </sheetView>
  </sheetViews>
  <sheetFormatPr defaultRowHeight="13.5" x14ac:dyDescent="0.15"/>
  <cols>
    <col min="1" max="1" width="18.625" customWidth="1"/>
    <col min="2" max="2" width="19.625" customWidth="1"/>
    <col min="3" max="3" width="15.625" customWidth="1"/>
    <col min="4" max="4" width="20.875" bestFit="1" customWidth="1"/>
    <col min="5" max="5" width="15.375" bestFit="1" customWidth="1"/>
    <col min="6" max="6" width="20.625" bestFit="1" customWidth="1"/>
    <col min="7" max="7" width="20.375" customWidth="1"/>
    <col min="8" max="8" width="16.375" customWidth="1"/>
    <col min="9" max="9" width="22.625" customWidth="1"/>
    <col min="10" max="10" width="27.625" customWidth="1"/>
    <col min="11" max="11" width="9.375" hidden="1" customWidth="1"/>
    <col min="12" max="12" width="5.75" hidden="1" customWidth="1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44329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194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195" t="s">
        <v>6</v>
      </c>
      <c r="E10" s="195" t="s">
        <v>5</v>
      </c>
      <c r="F10" s="195" t="s">
        <v>6</v>
      </c>
      <c r="G10" s="195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279</v>
      </c>
      <c r="B11" s="68"/>
      <c r="C11" s="69" t="s">
        <v>508</v>
      </c>
      <c r="D11" s="188" t="s">
        <v>557</v>
      </c>
      <c r="E11" s="185" t="s">
        <v>562</v>
      </c>
      <c r="F11" s="181" t="s">
        <v>567</v>
      </c>
      <c r="G11" s="181" t="s">
        <v>570</v>
      </c>
      <c r="H11" s="145" t="s">
        <v>605</v>
      </c>
      <c r="I11" s="146">
        <f>DATE(2021,6,6+25)</f>
        <v>44378</v>
      </c>
      <c r="J11" s="147">
        <f>DATE(2021,7,1+5)</f>
        <v>44383</v>
      </c>
      <c r="K11" s="204"/>
      <c r="L11" s="203"/>
    </row>
    <row r="12" spans="1:12" ht="26.1" customHeight="1" x14ac:dyDescent="0.2">
      <c r="A12" s="89" t="s">
        <v>280</v>
      </c>
      <c r="B12" s="68"/>
      <c r="C12" s="69" t="s">
        <v>553</v>
      </c>
      <c r="D12" s="199" t="s">
        <v>558</v>
      </c>
      <c r="E12" s="185" t="s">
        <v>563</v>
      </c>
      <c r="F12" s="181" t="s">
        <v>558</v>
      </c>
      <c r="G12" s="181" t="s">
        <v>563</v>
      </c>
      <c r="H12" s="145" t="s">
        <v>571</v>
      </c>
      <c r="I12" s="146">
        <f>DATE(2021,6,7+25)</f>
        <v>44379</v>
      </c>
      <c r="J12" s="147">
        <f>DATE(2021,7,2+5)</f>
        <v>44384</v>
      </c>
      <c r="K12" s="204"/>
      <c r="L12" s="203"/>
    </row>
    <row r="13" spans="1:12" ht="26.1" customHeight="1" x14ac:dyDescent="0.2">
      <c r="A13" s="89" t="s">
        <v>281</v>
      </c>
      <c r="B13" s="68"/>
      <c r="C13" s="69" t="s">
        <v>554</v>
      </c>
      <c r="D13" s="145" t="s">
        <v>559</v>
      </c>
      <c r="E13" s="185" t="s">
        <v>564</v>
      </c>
      <c r="F13" s="181" t="s">
        <v>568</v>
      </c>
      <c r="G13" s="181" t="s">
        <v>564</v>
      </c>
      <c r="H13" s="145" t="s">
        <v>589</v>
      </c>
      <c r="I13" s="146">
        <f>DATE(2021,6,11+25)</f>
        <v>44383</v>
      </c>
      <c r="J13" s="147">
        <f>DATE(2021,7,6+5)</f>
        <v>44388</v>
      </c>
      <c r="K13" s="204"/>
      <c r="L13" s="203"/>
    </row>
    <row r="14" spans="1:12" ht="26.1" customHeight="1" x14ac:dyDescent="0.2">
      <c r="A14" s="89" t="s">
        <v>279</v>
      </c>
      <c r="B14" s="68"/>
      <c r="C14" s="69" t="s">
        <v>555</v>
      </c>
      <c r="D14" s="145" t="s">
        <v>560</v>
      </c>
      <c r="E14" s="145" t="s">
        <v>565</v>
      </c>
      <c r="F14" s="184" t="s">
        <v>569</v>
      </c>
      <c r="G14" s="182" t="s">
        <v>571</v>
      </c>
      <c r="H14" s="145" t="s">
        <v>606</v>
      </c>
      <c r="I14" s="146">
        <f>DATE(2021,6,13+25)</f>
        <v>44385</v>
      </c>
      <c r="J14" s="147">
        <f>DATE(2021,7,8+5)</f>
        <v>44390</v>
      </c>
      <c r="K14" s="204"/>
      <c r="L14" s="203"/>
    </row>
    <row r="15" spans="1:12" ht="26.1" customHeight="1" x14ac:dyDescent="0.2">
      <c r="A15" s="89" t="s">
        <v>280</v>
      </c>
      <c r="B15" s="68"/>
      <c r="C15" s="69" t="s">
        <v>556</v>
      </c>
      <c r="D15" s="145" t="s">
        <v>561</v>
      </c>
      <c r="E15" s="186" t="s">
        <v>566</v>
      </c>
      <c r="F15" s="184" t="s">
        <v>561</v>
      </c>
      <c r="G15" s="181" t="s">
        <v>566</v>
      </c>
      <c r="H15" s="145" t="s">
        <v>602</v>
      </c>
      <c r="I15" s="146">
        <f>DATE(2021,6,14+25)</f>
        <v>44386</v>
      </c>
      <c r="J15" s="147">
        <f>DATE(2021,7,9+5)</f>
        <v>44391</v>
      </c>
      <c r="K15" s="72"/>
    </row>
    <row r="16" spans="1:12" ht="26.1" customHeight="1" x14ac:dyDescent="0.2">
      <c r="A16" s="89" t="s">
        <v>281</v>
      </c>
      <c r="B16" s="68"/>
      <c r="C16" s="69" t="s">
        <v>572</v>
      </c>
      <c r="D16" s="145" t="s">
        <v>580</v>
      </c>
      <c r="E16" s="186" t="s">
        <v>588</v>
      </c>
      <c r="F16" s="184" t="s">
        <v>596</v>
      </c>
      <c r="G16" s="201" t="s">
        <v>588</v>
      </c>
      <c r="H16" s="145" t="s">
        <v>592</v>
      </c>
      <c r="I16" s="146">
        <f>DATE(2021,6,18+25)</f>
        <v>44390</v>
      </c>
      <c r="J16" s="147">
        <f>DATE(2021,7,13+5)</f>
        <v>44395</v>
      </c>
      <c r="K16" s="72"/>
    </row>
    <row r="17" spans="1:28" ht="26.1" customHeight="1" x14ac:dyDescent="0.2">
      <c r="A17" s="89" t="s">
        <v>279</v>
      </c>
      <c r="B17" s="68"/>
      <c r="C17" s="69" t="s">
        <v>573</v>
      </c>
      <c r="D17" s="145" t="s">
        <v>581</v>
      </c>
      <c r="E17" s="198" t="s">
        <v>589</v>
      </c>
      <c r="F17" s="184" t="s">
        <v>597</v>
      </c>
      <c r="G17" s="201" t="s">
        <v>602</v>
      </c>
      <c r="H17" s="145" t="s">
        <v>607</v>
      </c>
      <c r="I17" s="146">
        <f>DATE(2021,6,20+25)</f>
        <v>44392</v>
      </c>
      <c r="J17" s="147">
        <f>DATE(2021,7,15+5)</f>
        <v>44397</v>
      </c>
      <c r="K17" s="72"/>
    </row>
    <row r="18" spans="1:28" ht="26.1" customHeight="1" x14ac:dyDescent="0.2">
      <c r="A18" s="89" t="s">
        <v>280</v>
      </c>
      <c r="B18" s="68"/>
      <c r="C18" s="69" t="s">
        <v>574</v>
      </c>
      <c r="D18" s="145" t="s">
        <v>582</v>
      </c>
      <c r="E18" s="198" t="s">
        <v>590</v>
      </c>
      <c r="F18" s="184" t="s">
        <v>582</v>
      </c>
      <c r="G18" s="201" t="s">
        <v>590</v>
      </c>
      <c r="H18" s="145" t="s">
        <v>603</v>
      </c>
      <c r="I18" s="146">
        <f>DATE(2021,6,21+25)</f>
        <v>44393</v>
      </c>
      <c r="J18" s="147">
        <f>DATE(2021,7,16+5)</f>
        <v>44398</v>
      </c>
      <c r="K18" s="72"/>
    </row>
    <row r="19" spans="1:28" ht="26.1" customHeight="1" x14ac:dyDescent="0.2">
      <c r="A19" s="89" t="s">
        <v>281</v>
      </c>
      <c r="B19" s="68"/>
      <c r="C19" s="69" t="s">
        <v>575</v>
      </c>
      <c r="D19" s="145" t="s">
        <v>583</v>
      </c>
      <c r="E19" s="198" t="s">
        <v>591</v>
      </c>
      <c r="F19" s="184" t="s">
        <v>598</v>
      </c>
      <c r="G19" s="201" t="s">
        <v>591</v>
      </c>
      <c r="H19" s="145" t="s">
        <v>595</v>
      </c>
      <c r="I19" s="146">
        <f>DATE(2021,6,25+25)</f>
        <v>44397</v>
      </c>
      <c r="J19" s="147">
        <f>DATE(2021,7,20+5)</f>
        <v>44402</v>
      </c>
      <c r="K19" s="72"/>
    </row>
    <row r="20" spans="1:28" ht="26.1" customHeight="1" x14ac:dyDescent="0.2">
      <c r="A20" s="89" t="s">
        <v>279</v>
      </c>
      <c r="B20" s="68"/>
      <c r="C20" s="69" t="s">
        <v>576</v>
      </c>
      <c r="D20" s="145" t="s">
        <v>584</v>
      </c>
      <c r="E20" s="200" t="s">
        <v>592</v>
      </c>
      <c r="F20" s="181" t="s">
        <v>599</v>
      </c>
      <c r="G20" s="201" t="s">
        <v>603</v>
      </c>
      <c r="H20" s="145" t="s">
        <v>608</v>
      </c>
      <c r="I20" s="146">
        <f>DATE(2021,6,27+25)</f>
        <v>44399</v>
      </c>
      <c r="J20" s="147">
        <f>DATE(2021,7,22+5)</f>
        <v>44404</v>
      </c>
      <c r="K20" s="72"/>
    </row>
    <row r="21" spans="1:28" ht="26.1" customHeight="1" x14ac:dyDescent="0.2">
      <c r="A21" s="89" t="s">
        <v>280</v>
      </c>
      <c r="B21" s="68"/>
      <c r="C21" s="69" t="s">
        <v>577</v>
      </c>
      <c r="D21" s="145" t="s">
        <v>585</v>
      </c>
      <c r="E21" s="200" t="s">
        <v>593</v>
      </c>
      <c r="F21" s="181" t="s">
        <v>585</v>
      </c>
      <c r="G21" s="201" t="s">
        <v>593</v>
      </c>
      <c r="H21" s="145" t="s">
        <v>604</v>
      </c>
      <c r="I21" s="146">
        <f>DATE(2021,6,28+25)</f>
        <v>44400</v>
      </c>
      <c r="J21" s="147">
        <f>DATE(2021,7,23+5)</f>
        <v>44405</v>
      </c>
      <c r="K21" s="72"/>
    </row>
    <row r="22" spans="1:28" ht="26.1" customHeight="1" x14ac:dyDescent="0.2">
      <c r="A22" s="89" t="s">
        <v>281</v>
      </c>
      <c r="B22" s="68"/>
      <c r="C22" s="69" t="s">
        <v>578</v>
      </c>
      <c r="D22" s="145" t="s">
        <v>586</v>
      </c>
      <c r="E22" s="200" t="s">
        <v>594</v>
      </c>
      <c r="F22" s="181" t="s">
        <v>600</v>
      </c>
      <c r="G22" s="201" t="s">
        <v>594</v>
      </c>
      <c r="H22" s="145" t="s">
        <v>609</v>
      </c>
      <c r="I22" s="146">
        <f>DATE(2021,7,2+25)</f>
        <v>44404</v>
      </c>
      <c r="J22" s="147">
        <f>DATE(2021,7,27+5)</f>
        <v>44409</v>
      </c>
      <c r="K22" s="72"/>
    </row>
    <row r="23" spans="1:28" ht="25.5" customHeight="1" x14ac:dyDescent="0.2">
      <c r="A23" s="159" t="s">
        <v>279</v>
      </c>
      <c r="B23" s="160"/>
      <c r="C23" s="161" t="s">
        <v>579</v>
      </c>
      <c r="D23" s="145" t="s">
        <v>587</v>
      </c>
      <c r="E23" s="205" t="s">
        <v>595</v>
      </c>
      <c r="F23" s="183" t="s">
        <v>601</v>
      </c>
      <c r="G23" s="202" t="s">
        <v>604</v>
      </c>
      <c r="H23" s="167" t="s">
        <v>610</v>
      </c>
      <c r="I23" s="146">
        <f>DATE(2021,7,4+25)</f>
        <v>44406</v>
      </c>
      <c r="J23" s="147">
        <f>DATE(2021,7,29+5)</f>
        <v>44411</v>
      </c>
      <c r="K23" s="72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5"/>
      <c r="J24" s="176"/>
      <c r="K24" s="72"/>
    </row>
    <row r="25" spans="1:28" ht="13.5" customHeight="1" x14ac:dyDescent="0.2">
      <c r="A25" s="67"/>
      <c r="B25" s="18"/>
      <c r="G25" s="90"/>
      <c r="H25" s="54"/>
      <c r="I25" s="54"/>
      <c r="J25" s="54"/>
      <c r="K25" s="72"/>
    </row>
    <row r="26" spans="1:28" ht="26.25" customHeight="1" x14ac:dyDescent="0.2">
      <c r="A26" s="15"/>
      <c r="B26" s="92" t="s">
        <v>77</v>
      </c>
      <c r="C26" s="91" t="s">
        <v>78</v>
      </c>
      <c r="E26" s="92"/>
      <c r="F26" s="114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/>
      <c r="E27" s="92"/>
      <c r="F27" s="10"/>
      <c r="G27" s="10" t="s">
        <v>89</v>
      </c>
      <c r="H27" s="108"/>
      <c r="I27" s="10"/>
      <c r="J27" s="108"/>
      <c r="K27" s="108"/>
      <c r="L27"/>
    </row>
    <row r="28" spans="1:28" s="33" customFormat="1" ht="26.25" customHeight="1" x14ac:dyDescent="0.2">
      <c r="A28" s="94"/>
      <c r="B28" s="94"/>
      <c r="C28" s="15" t="s">
        <v>80</v>
      </c>
      <c r="D28"/>
      <c r="E28" s="92"/>
      <c r="F28" s="10"/>
      <c r="G28" s="116" t="s">
        <v>90</v>
      </c>
      <c r="H28" s="15"/>
      <c r="I28" s="109"/>
      <c r="J28" s="15"/>
      <c r="K28" s="15"/>
      <c r="L28"/>
      <c r="M28"/>
      <c r="N28"/>
      <c r="O28"/>
      <c r="P28"/>
      <c r="Q28"/>
      <c r="R28" s="15"/>
      <c r="S28" s="15"/>
      <c r="T28" s="15"/>
      <c r="U28"/>
      <c r="V28"/>
      <c r="W28"/>
      <c r="X28"/>
      <c r="Y28"/>
      <c r="Z28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/>
      <c r="F29" s="10"/>
      <c r="G29" s="15" t="s">
        <v>91</v>
      </c>
      <c r="H29" s="15"/>
      <c r="I29" s="109"/>
      <c r="J29" s="15"/>
      <c r="K29" s="15"/>
      <c r="L29" s="5"/>
      <c r="M29"/>
      <c r="N29" s="91"/>
      <c r="O29"/>
      <c r="P29"/>
      <c r="Q29"/>
      <c r="R29" s="15"/>
      <c r="S29" s="15"/>
      <c r="T29" s="15"/>
      <c r="U29" s="91"/>
      <c r="V29"/>
      <c r="W29"/>
      <c r="X29"/>
      <c r="Y29" s="92"/>
      <c r="Z29" s="1"/>
      <c r="AA29" s="90"/>
      <c r="AB29" s="90"/>
    </row>
    <row r="30" spans="1:28" s="33" customFormat="1" ht="12.75" customHeight="1" x14ac:dyDescent="0.2">
      <c r="A30"/>
      <c r="B30"/>
      <c r="C30"/>
      <c r="D30"/>
      <c r="E30"/>
      <c r="F30"/>
      <c r="G30"/>
      <c r="H30"/>
      <c r="I30"/>
      <c r="J30" s="19"/>
      <c r="M30"/>
      <c r="N30" s="10"/>
      <c r="O30"/>
      <c r="P30"/>
      <c r="Q30"/>
      <c r="R30" s="15"/>
      <c r="S30" s="93"/>
      <c r="T30" s="93"/>
      <c r="U30" s="91"/>
      <c r="V30"/>
      <c r="W30"/>
      <c r="X30"/>
      <c r="Y30" s="92"/>
      <c r="Z30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/>
      <c r="L31"/>
      <c r="M31"/>
      <c r="N31" s="10"/>
      <c r="O31"/>
      <c r="P31"/>
      <c r="Q31"/>
      <c r="R31"/>
      <c r="S31" s="94"/>
      <c r="T31" s="94"/>
      <c r="U31" s="15"/>
      <c r="V31"/>
      <c r="W31"/>
      <c r="X31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/>
      <c r="L32"/>
      <c r="M32"/>
      <c r="N32"/>
      <c r="O32"/>
      <c r="P32"/>
      <c r="Q32"/>
      <c r="R32" s="15"/>
      <c r="S32" s="15"/>
      <c r="T32" s="15"/>
      <c r="U32" s="15"/>
      <c r="V32" s="96"/>
      <c r="W32" s="96"/>
      <c r="X32" s="97"/>
      <c r="Y32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/>
      <c r="L3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142E6E02-AEF0-4126-82F9-31067F900428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D747-E120-445E-B7A6-DA8FC3FB9239}">
  <sheetPr>
    <tabColor theme="0"/>
  </sheetPr>
  <dimension ref="A1:AB39"/>
  <sheetViews>
    <sheetView topLeftCell="A19" workbookViewId="0">
      <selection activeCell="G36" sqref="G36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0.875" style="203" bestFit="1" customWidth="1"/>
    <col min="5" max="5" width="15.375" style="203" bestFit="1" customWidth="1"/>
    <col min="6" max="6" width="20.625" style="203" bestFit="1" customWidth="1"/>
    <col min="7" max="7" width="20.375" style="203" customWidth="1"/>
    <col min="8" max="8" width="16.375" style="203" customWidth="1"/>
    <col min="9" max="9" width="22.625" style="203" customWidth="1"/>
    <col min="10" max="10" width="27.62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44341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196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197" t="s">
        <v>6</v>
      </c>
      <c r="E10" s="197" t="s">
        <v>5</v>
      </c>
      <c r="F10" s="197" t="s">
        <v>6</v>
      </c>
      <c r="G10" s="197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279</v>
      </c>
      <c r="B11" s="68"/>
      <c r="C11" s="69" t="s">
        <v>508</v>
      </c>
      <c r="D11" s="188" t="s">
        <v>557</v>
      </c>
      <c r="E11" s="185" t="s">
        <v>562</v>
      </c>
      <c r="F11" s="181" t="s">
        <v>567</v>
      </c>
      <c r="G11" s="181" t="s">
        <v>570</v>
      </c>
      <c r="H11" s="145" t="s">
        <v>605</v>
      </c>
      <c r="I11" s="146">
        <f>DATE(2021,6,6+30)</f>
        <v>44383</v>
      </c>
      <c r="J11" s="147">
        <f>DATE(2021,7,6+7)</f>
        <v>44390</v>
      </c>
      <c r="K11" s="204"/>
    </row>
    <row r="12" spans="1:12" ht="26.1" customHeight="1" x14ac:dyDescent="0.2">
      <c r="A12" s="89" t="s">
        <v>280</v>
      </c>
      <c r="B12" s="68"/>
      <c r="C12" s="69" t="s">
        <v>553</v>
      </c>
      <c r="D12" s="199" t="s">
        <v>558</v>
      </c>
      <c r="E12" s="185" t="s">
        <v>563</v>
      </c>
      <c r="F12" s="181" t="s">
        <v>558</v>
      </c>
      <c r="G12" s="181" t="s">
        <v>563</v>
      </c>
      <c r="H12" s="145" t="s">
        <v>571</v>
      </c>
      <c r="I12" s="146">
        <f>DATE(2021,6,7+30)</f>
        <v>44384</v>
      </c>
      <c r="J12" s="147">
        <f>DATE(2021,7,7+7)</f>
        <v>44391</v>
      </c>
      <c r="K12" s="204"/>
    </row>
    <row r="13" spans="1:12" ht="26.1" customHeight="1" x14ac:dyDescent="0.2">
      <c r="A13" s="89" t="s">
        <v>281</v>
      </c>
      <c r="B13" s="68"/>
      <c r="C13" s="69" t="s">
        <v>554</v>
      </c>
      <c r="D13" s="145" t="s">
        <v>559</v>
      </c>
      <c r="E13" s="185" t="s">
        <v>564</v>
      </c>
      <c r="F13" s="181" t="s">
        <v>568</v>
      </c>
      <c r="G13" s="181" t="s">
        <v>564</v>
      </c>
      <c r="H13" s="145" t="s">
        <v>589</v>
      </c>
      <c r="I13" s="146">
        <f>DATE(2021,6,11+30)</f>
        <v>44388</v>
      </c>
      <c r="J13" s="147">
        <f>DATE(2021,7,11+7)</f>
        <v>44395</v>
      </c>
      <c r="K13" s="204"/>
    </row>
    <row r="14" spans="1:12" ht="26.1" customHeight="1" x14ac:dyDescent="0.2">
      <c r="A14" s="89" t="s">
        <v>279</v>
      </c>
      <c r="B14" s="68"/>
      <c r="C14" s="69" t="s">
        <v>555</v>
      </c>
      <c r="D14" s="145" t="s">
        <v>560</v>
      </c>
      <c r="E14" s="145" t="s">
        <v>565</v>
      </c>
      <c r="F14" s="184" t="s">
        <v>569</v>
      </c>
      <c r="G14" s="182" t="s">
        <v>571</v>
      </c>
      <c r="H14" s="145" t="s">
        <v>606</v>
      </c>
      <c r="I14" s="146">
        <f>DATE(2021,6,13+30)</f>
        <v>44390</v>
      </c>
      <c r="J14" s="147">
        <f>DATE(2021,7,13+7)</f>
        <v>44397</v>
      </c>
      <c r="K14" s="204"/>
    </row>
    <row r="15" spans="1:12" ht="26.1" customHeight="1" x14ac:dyDescent="0.2">
      <c r="A15" s="89" t="s">
        <v>280</v>
      </c>
      <c r="B15" s="68"/>
      <c r="C15" s="69" t="s">
        <v>556</v>
      </c>
      <c r="D15" s="145" t="s">
        <v>561</v>
      </c>
      <c r="E15" s="186" t="s">
        <v>566</v>
      </c>
      <c r="F15" s="184" t="s">
        <v>561</v>
      </c>
      <c r="G15" s="181" t="s">
        <v>566</v>
      </c>
      <c r="H15" s="145" t="s">
        <v>602</v>
      </c>
      <c r="I15" s="146">
        <f>DATE(2021,6,14+30)</f>
        <v>44391</v>
      </c>
      <c r="J15" s="147">
        <f>DATE(2021,7,14+7)</f>
        <v>44398</v>
      </c>
      <c r="K15" s="204"/>
    </row>
    <row r="16" spans="1:12" ht="26.1" customHeight="1" x14ac:dyDescent="0.2">
      <c r="A16" s="89" t="s">
        <v>281</v>
      </c>
      <c r="B16" s="68"/>
      <c r="C16" s="69" t="s">
        <v>572</v>
      </c>
      <c r="D16" s="145" t="s">
        <v>580</v>
      </c>
      <c r="E16" s="186" t="s">
        <v>588</v>
      </c>
      <c r="F16" s="184" t="s">
        <v>596</v>
      </c>
      <c r="G16" s="201" t="s">
        <v>588</v>
      </c>
      <c r="H16" s="145" t="s">
        <v>592</v>
      </c>
      <c r="I16" s="146">
        <f>DATE(2021,6,18+30)</f>
        <v>44395</v>
      </c>
      <c r="J16" s="147">
        <f>DATE(2021,7,18+7)</f>
        <v>44402</v>
      </c>
      <c r="K16" s="204"/>
    </row>
    <row r="17" spans="1:28" ht="26.1" customHeight="1" x14ac:dyDescent="0.2">
      <c r="A17" s="89" t="s">
        <v>279</v>
      </c>
      <c r="B17" s="68"/>
      <c r="C17" s="69" t="s">
        <v>573</v>
      </c>
      <c r="D17" s="145" t="s">
        <v>581</v>
      </c>
      <c r="E17" s="198" t="s">
        <v>589</v>
      </c>
      <c r="F17" s="184" t="s">
        <v>597</v>
      </c>
      <c r="G17" s="201" t="s">
        <v>602</v>
      </c>
      <c r="H17" s="145" t="s">
        <v>607</v>
      </c>
      <c r="I17" s="146">
        <f>DATE(2021,6,20+30)</f>
        <v>44397</v>
      </c>
      <c r="J17" s="147">
        <f>DATE(2021,7,20+7)</f>
        <v>44404</v>
      </c>
      <c r="K17" s="204"/>
    </row>
    <row r="18" spans="1:28" ht="26.1" customHeight="1" x14ac:dyDescent="0.2">
      <c r="A18" s="89" t="s">
        <v>280</v>
      </c>
      <c r="B18" s="68"/>
      <c r="C18" s="69" t="s">
        <v>574</v>
      </c>
      <c r="D18" s="145" t="s">
        <v>582</v>
      </c>
      <c r="E18" s="198" t="s">
        <v>590</v>
      </c>
      <c r="F18" s="184" t="s">
        <v>582</v>
      </c>
      <c r="G18" s="201" t="s">
        <v>590</v>
      </c>
      <c r="H18" s="145" t="s">
        <v>603</v>
      </c>
      <c r="I18" s="146">
        <f>DATE(2021,6,21+30)</f>
        <v>44398</v>
      </c>
      <c r="J18" s="147">
        <f>DATE(2021,7,21+7)</f>
        <v>44405</v>
      </c>
      <c r="K18" s="204"/>
    </row>
    <row r="19" spans="1:28" ht="26.1" customHeight="1" x14ac:dyDescent="0.2">
      <c r="A19" s="89" t="s">
        <v>281</v>
      </c>
      <c r="B19" s="68"/>
      <c r="C19" s="69" t="s">
        <v>575</v>
      </c>
      <c r="D19" s="145" t="s">
        <v>583</v>
      </c>
      <c r="E19" s="198" t="s">
        <v>591</v>
      </c>
      <c r="F19" s="184" t="s">
        <v>598</v>
      </c>
      <c r="G19" s="201" t="s">
        <v>591</v>
      </c>
      <c r="H19" s="145" t="s">
        <v>595</v>
      </c>
      <c r="I19" s="146">
        <f>DATE(2021,6,25+30)</f>
        <v>44402</v>
      </c>
      <c r="J19" s="147">
        <f>DATE(2021,7,25+7)</f>
        <v>44409</v>
      </c>
      <c r="K19" s="204"/>
    </row>
    <row r="20" spans="1:28" ht="26.1" customHeight="1" x14ac:dyDescent="0.2">
      <c r="A20" s="89" t="s">
        <v>279</v>
      </c>
      <c r="B20" s="68"/>
      <c r="C20" s="69" t="s">
        <v>576</v>
      </c>
      <c r="D20" s="145" t="s">
        <v>584</v>
      </c>
      <c r="E20" s="200" t="s">
        <v>592</v>
      </c>
      <c r="F20" s="181" t="s">
        <v>599</v>
      </c>
      <c r="G20" s="201" t="s">
        <v>603</v>
      </c>
      <c r="H20" s="145" t="s">
        <v>608</v>
      </c>
      <c r="I20" s="146">
        <f>DATE(2021,6,27+30)</f>
        <v>44404</v>
      </c>
      <c r="J20" s="147">
        <f>DATE(2021,7,27+7)</f>
        <v>44411</v>
      </c>
      <c r="K20" s="204"/>
    </row>
    <row r="21" spans="1:28" ht="26.1" customHeight="1" x14ac:dyDescent="0.2">
      <c r="A21" s="89" t="s">
        <v>280</v>
      </c>
      <c r="B21" s="68"/>
      <c r="C21" s="69" t="s">
        <v>577</v>
      </c>
      <c r="D21" s="145" t="s">
        <v>585</v>
      </c>
      <c r="E21" s="200" t="s">
        <v>593</v>
      </c>
      <c r="F21" s="181" t="s">
        <v>585</v>
      </c>
      <c r="G21" s="201" t="s">
        <v>593</v>
      </c>
      <c r="H21" s="145" t="s">
        <v>604</v>
      </c>
      <c r="I21" s="146">
        <f>DATE(2021,6,28+30)</f>
        <v>44405</v>
      </c>
      <c r="J21" s="147">
        <f>DATE(2021,7,28+7)</f>
        <v>44412</v>
      </c>
      <c r="K21" s="204"/>
    </row>
    <row r="22" spans="1:28" ht="26.1" customHeight="1" x14ac:dyDescent="0.2">
      <c r="A22" s="89" t="s">
        <v>281</v>
      </c>
      <c r="B22" s="68"/>
      <c r="C22" s="69" t="s">
        <v>578</v>
      </c>
      <c r="D22" s="145" t="s">
        <v>586</v>
      </c>
      <c r="E22" s="200" t="s">
        <v>594</v>
      </c>
      <c r="F22" s="181" t="s">
        <v>600</v>
      </c>
      <c r="G22" s="201" t="s">
        <v>594</v>
      </c>
      <c r="H22" s="145" t="s">
        <v>609</v>
      </c>
      <c r="I22" s="146">
        <f>DATE(2021,7,2+30)</f>
        <v>44409</v>
      </c>
      <c r="J22" s="147">
        <f>DATE(2021,8,1+7)</f>
        <v>44416</v>
      </c>
      <c r="K22" s="204"/>
    </row>
    <row r="23" spans="1:28" ht="25.5" customHeight="1" x14ac:dyDescent="0.2">
      <c r="A23" s="159" t="s">
        <v>279</v>
      </c>
      <c r="B23" s="160"/>
      <c r="C23" s="161" t="s">
        <v>579</v>
      </c>
      <c r="D23" s="145" t="s">
        <v>587</v>
      </c>
      <c r="E23" s="205" t="s">
        <v>595</v>
      </c>
      <c r="F23" s="183" t="s">
        <v>601</v>
      </c>
      <c r="G23" s="202" t="s">
        <v>604</v>
      </c>
      <c r="H23" s="167" t="s">
        <v>610</v>
      </c>
      <c r="I23" s="146">
        <f>DATE(2021,7,4+30)</f>
        <v>44411</v>
      </c>
      <c r="J23" s="147">
        <f>DATE(2021,8,3+7)</f>
        <v>44418</v>
      </c>
      <c r="K23" s="204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5"/>
      <c r="J24" s="176"/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840ED9FA-30C3-4576-8E75-3BAD6561A384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789C-E55A-4B60-930F-FBE56851F701}">
  <dimension ref="A1:AB39"/>
  <sheetViews>
    <sheetView topLeftCell="A7" workbookViewId="0">
      <selection activeCell="E26" sqref="E26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0.875" style="203" bestFit="1" customWidth="1"/>
    <col min="5" max="5" width="15.375" style="203" bestFit="1" customWidth="1"/>
    <col min="6" max="6" width="20.625" style="203" bestFit="1" customWidth="1"/>
    <col min="7" max="7" width="20.375" style="203" customWidth="1"/>
    <col min="8" max="8" width="16.375" style="203" customWidth="1"/>
    <col min="9" max="9" width="22.625" style="203" customWidth="1"/>
    <col min="10" max="10" width="27.62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44382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06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07" t="s">
        <v>6</v>
      </c>
      <c r="E10" s="207" t="s">
        <v>5</v>
      </c>
      <c r="F10" s="207" t="s">
        <v>6</v>
      </c>
      <c r="G10" s="207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280</v>
      </c>
      <c r="B11" s="68"/>
      <c r="C11" s="69" t="s">
        <v>611</v>
      </c>
      <c r="D11" s="188" t="s">
        <v>618</v>
      </c>
      <c r="E11" s="185" t="s">
        <v>625</v>
      </c>
      <c r="F11" s="181" t="s">
        <v>618</v>
      </c>
      <c r="G11" s="181" t="s">
        <v>625</v>
      </c>
      <c r="H11" s="145" t="s">
        <v>639</v>
      </c>
      <c r="I11" s="146">
        <f>DATE(2021,7,12+30)</f>
        <v>44419</v>
      </c>
      <c r="J11" s="147">
        <f>DATE(2021,8,11+7)</f>
        <v>44426</v>
      </c>
      <c r="K11" s="204"/>
    </row>
    <row r="12" spans="1:12" ht="26.1" customHeight="1" x14ac:dyDescent="0.2">
      <c r="A12" s="89" t="s">
        <v>281</v>
      </c>
      <c r="B12" s="68"/>
      <c r="C12" s="69" t="s">
        <v>612</v>
      </c>
      <c r="D12" s="199" t="s">
        <v>619</v>
      </c>
      <c r="E12" s="185" t="s">
        <v>626</v>
      </c>
      <c r="F12" s="181" t="s">
        <v>632</v>
      </c>
      <c r="G12" s="181" t="s">
        <v>626</v>
      </c>
      <c r="H12" s="145" t="s">
        <v>630</v>
      </c>
      <c r="I12" s="146">
        <f>DATE(2021,7,16+30)</f>
        <v>44423</v>
      </c>
      <c r="J12" s="147">
        <f>DATE(2021,8,15+7)</f>
        <v>44430</v>
      </c>
      <c r="K12" s="204"/>
    </row>
    <row r="13" spans="1:12" ht="26.1" customHeight="1" x14ac:dyDescent="0.2">
      <c r="A13" s="89" t="s">
        <v>279</v>
      </c>
      <c r="B13" s="68"/>
      <c r="C13" s="69" t="s">
        <v>613</v>
      </c>
      <c r="D13" s="145" t="s">
        <v>620</v>
      </c>
      <c r="E13" s="185" t="s">
        <v>627</v>
      </c>
      <c r="F13" s="181" t="s">
        <v>633</v>
      </c>
      <c r="G13" s="181" t="s">
        <v>636</v>
      </c>
      <c r="H13" s="145" t="s">
        <v>640</v>
      </c>
      <c r="I13" s="146">
        <f>DATE(2021,7,18+30)</f>
        <v>44425</v>
      </c>
      <c r="J13" s="147">
        <f>DATE(2021,8,17+7)</f>
        <v>44432</v>
      </c>
      <c r="K13" s="204"/>
    </row>
    <row r="14" spans="1:12" ht="26.1" customHeight="1" x14ac:dyDescent="0.2">
      <c r="A14" s="89" t="s">
        <v>280</v>
      </c>
      <c r="B14" s="68"/>
      <c r="C14" s="69" t="s">
        <v>614</v>
      </c>
      <c r="D14" s="145" t="s">
        <v>621</v>
      </c>
      <c r="E14" s="145" t="s">
        <v>628</v>
      </c>
      <c r="F14" s="184" t="s">
        <v>621</v>
      </c>
      <c r="G14" s="182" t="s">
        <v>628</v>
      </c>
      <c r="H14" s="145" t="s">
        <v>641</v>
      </c>
      <c r="I14" s="146">
        <f>DATE(2021,7,19+30)</f>
        <v>44426</v>
      </c>
      <c r="J14" s="147">
        <f>DATE(2021,8,18+7)</f>
        <v>44433</v>
      </c>
      <c r="K14" s="204"/>
    </row>
    <row r="15" spans="1:12" ht="26.1" customHeight="1" x14ac:dyDescent="0.2">
      <c r="A15" s="89" t="s">
        <v>281</v>
      </c>
      <c r="B15" s="68"/>
      <c r="C15" s="69" t="s">
        <v>615</v>
      </c>
      <c r="D15" s="145" t="s">
        <v>622</v>
      </c>
      <c r="E15" s="186" t="s">
        <v>629</v>
      </c>
      <c r="F15" s="184" t="s">
        <v>634</v>
      </c>
      <c r="G15" s="181" t="s">
        <v>629</v>
      </c>
      <c r="H15" s="145" t="s">
        <v>642</v>
      </c>
      <c r="I15" s="146">
        <f>DATE(2021,7,23+30)</f>
        <v>44430</v>
      </c>
      <c r="J15" s="147">
        <f>DATE(2021,8,22+7)</f>
        <v>44437</v>
      </c>
      <c r="K15" s="204"/>
    </row>
    <row r="16" spans="1:12" ht="26.1" customHeight="1" x14ac:dyDescent="0.2">
      <c r="A16" s="89" t="s">
        <v>279</v>
      </c>
      <c r="B16" s="68"/>
      <c r="C16" s="69" t="s">
        <v>616</v>
      </c>
      <c r="D16" s="145" t="s">
        <v>623</v>
      </c>
      <c r="E16" s="186" t="s">
        <v>630</v>
      </c>
      <c r="F16" s="184" t="s">
        <v>635</v>
      </c>
      <c r="G16" s="201" t="s">
        <v>637</v>
      </c>
      <c r="H16" s="145" t="s">
        <v>643</v>
      </c>
      <c r="I16" s="146">
        <f>DATE(2021,7,25+30)</f>
        <v>44432</v>
      </c>
      <c r="J16" s="147">
        <f>DATE(2021,8,24+7)</f>
        <v>44439</v>
      </c>
      <c r="K16" s="204"/>
    </row>
    <row r="17" spans="1:28" ht="26.1" customHeight="1" x14ac:dyDescent="0.2">
      <c r="A17" s="89" t="s">
        <v>280</v>
      </c>
      <c r="B17" s="68"/>
      <c r="C17" s="69" t="s">
        <v>617</v>
      </c>
      <c r="D17" s="145" t="s">
        <v>624</v>
      </c>
      <c r="E17" s="198" t="s">
        <v>631</v>
      </c>
      <c r="F17" s="184" t="s">
        <v>624</v>
      </c>
      <c r="G17" s="201" t="s">
        <v>638</v>
      </c>
      <c r="H17" s="145" t="s">
        <v>644</v>
      </c>
      <c r="I17" s="146">
        <f>DATE(2021,7,26+30)</f>
        <v>44433</v>
      </c>
      <c r="J17" s="147">
        <f>DATE(2021,8,25+7)</f>
        <v>44440</v>
      </c>
      <c r="K17" s="204"/>
    </row>
    <row r="18" spans="1:28" ht="26.1" customHeight="1" x14ac:dyDescent="0.2">
      <c r="A18" s="89" t="s">
        <v>279</v>
      </c>
      <c r="B18" s="68"/>
      <c r="C18" s="69" t="s">
        <v>645</v>
      </c>
      <c r="D18" s="145" t="s">
        <v>651</v>
      </c>
      <c r="E18" s="198" t="s">
        <v>652</v>
      </c>
      <c r="F18" s="184" t="s">
        <v>653</v>
      </c>
      <c r="G18" s="201" t="s">
        <v>654</v>
      </c>
      <c r="H18" s="145" t="s">
        <v>655</v>
      </c>
      <c r="I18" s="146">
        <f>DATE(2021,8,1+30)</f>
        <v>44439</v>
      </c>
      <c r="J18" s="147">
        <f>DATE(2021,8,31+7)</f>
        <v>44446</v>
      </c>
      <c r="K18" s="204"/>
    </row>
    <row r="19" spans="1:28" ht="26.1" customHeight="1" x14ac:dyDescent="0.2">
      <c r="A19" s="89" t="s">
        <v>280</v>
      </c>
      <c r="B19" s="68"/>
      <c r="C19" s="69" t="s">
        <v>646</v>
      </c>
      <c r="D19" s="145" t="s">
        <v>656</v>
      </c>
      <c r="E19" s="198" t="s">
        <v>657</v>
      </c>
      <c r="F19" s="184" t="s">
        <v>656</v>
      </c>
      <c r="G19" s="201" t="s">
        <v>657</v>
      </c>
      <c r="H19" s="145" t="s">
        <v>658</v>
      </c>
      <c r="I19" s="146">
        <f>DATE(2021,8,2+30)</f>
        <v>44440</v>
      </c>
      <c r="J19" s="147">
        <f>DATE(2021,9,1+7)</f>
        <v>44447</v>
      </c>
      <c r="K19" s="204"/>
    </row>
    <row r="20" spans="1:28" ht="26.1" customHeight="1" x14ac:dyDescent="0.2">
      <c r="A20" s="89" t="s">
        <v>281</v>
      </c>
      <c r="B20" s="68"/>
      <c r="C20" s="69" t="s">
        <v>647</v>
      </c>
      <c r="D20" s="145" t="s">
        <v>659</v>
      </c>
      <c r="E20" s="200" t="s">
        <v>660</v>
      </c>
      <c r="F20" s="181" t="s">
        <v>661</v>
      </c>
      <c r="G20" s="201" t="s">
        <v>660</v>
      </c>
      <c r="H20" s="145" t="s">
        <v>662</v>
      </c>
      <c r="I20" s="146">
        <f>DATE(2021,8,6+30)</f>
        <v>44444</v>
      </c>
      <c r="J20" s="147">
        <f>DATE(2021,9,5+7)</f>
        <v>44451</v>
      </c>
      <c r="K20" s="204"/>
    </row>
    <row r="21" spans="1:28" ht="26.1" customHeight="1" x14ac:dyDescent="0.2">
      <c r="A21" s="89" t="s">
        <v>279</v>
      </c>
      <c r="B21" s="68"/>
      <c r="C21" s="69" t="s">
        <v>648</v>
      </c>
      <c r="D21" s="145" t="s">
        <v>663</v>
      </c>
      <c r="E21" s="200" t="s">
        <v>664</v>
      </c>
      <c r="F21" s="181" t="s">
        <v>665</v>
      </c>
      <c r="G21" s="201" t="s">
        <v>666</v>
      </c>
      <c r="H21" s="145" t="s">
        <v>667</v>
      </c>
      <c r="I21" s="146">
        <f>DATE(2021,8,8+30)</f>
        <v>44446</v>
      </c>
      <c r="J21" s="147">
        <f>DATE(2021,9,7+7)</f>
        <v>44453</v>
      </c>
      <c r="K21" s="204"/>
    </row>
    <row r="22" spans="1:28" ht="26.1" customHeight="1" x14ac:dyDescent="0.2">
      <c r="A22" s="89" t="s">
        <v>280</v>
      </c>
      <c r="B22" s="68"/>
      <c r="C22" s="69" t="s">
        <v>649</v>
      </c>
      <c r="D22" s="145" t="s">
        <v>668</v>
      </c>
      <c r="E22" s="200" t="s">
        <v>669</v>
      </c>
      <c r="F22" s="181" t="s">
        <v>668</v>
      </c>
      <c r="G22" s="201" t="s">
        <v>669</v>
      </c>
      <c r="H22" s="145" t="s">
        <v>670</v>
      </c>
      <c r="I22" s="146">
        <f>DATE(2021,8,9+30)</f>
        <v>44447</v>
      </c>
      <c r="J22" s="147">
        <f>DATE(2021,9,8+7)</f>
        <v>44454</v>
      </c>
      <c r="K22" s="204"/>
    </row>
    <row r="23" spans="1:28" ht="25.5" customHeight="1" x14ac:dyDescent="0.2">
      <c r="A23" s="159" t="s">
        <v>281</v>
      </c>
      <c r="B23" s="160"/>
      <c r="C23" s="161" t="s">
        <v>650</v>
      </c>
      <c r="D23" s="145" t="s">
        <v>671</v>
      </c>
      <c r="E23" s="205" t="s">
        <v>672</v>
      </c>
      <c r="F23" s="183" t="s">
        <v>673</v>
      </c>
      <c r="G23" s="202" t="s">
        <v>672</v>
      </c>
      <c r="H23" s="167" t="s">
        <v>674</v>
      </c>
      <c r="I23" s="146">
        <f>DATE(2021,8,13+30)</f>
        <v>44451</v>
      </c>
      <c r="J23" s="147">
        <f>DATE(2021,9,12+7)</f>
        <v>44458</v>
      </c>
      <c r="K23" s="204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5"/>
      <c r="J24" s="176"/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9413A18C-251E-417F-B405-2EA1A735E1B0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764D-2555-4435-BF4F-993C4AF8EA1E}">
  <dimension ref="A1:AB39"/>
  <sheetViews>
    <sheetView topLeftCell="F19" workbookViewId="0">
      <selection activeCell="H36" sqref="H36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0.875" style="203" bestFit="1" customWidth="1"/>
    <col min="5" max="5" width="15.375" style="203" bestFit="1" customWidth="1"/>
    <col min="6" max="6" width="20.625" style="203" bestFit="1" customWidth="1"/>
    <col min="7" max="7" width="20.375" style="203" customWidth="1"/>
    <col min="8" max="8" width="16.375" style="203" customWidth="1"/>
    <col min="9" max="9" width="22.625" style="203" customWidth="1"/>
    <col min="10" max="10" width="27.62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44403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10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11" t="s">
        <v>6</v>
      </c>
      <c r="E10" s="211" t="s">
        <v>5</v>
      </c>
      <c r="F10" s="211" t="s">
        <v>6</v>
      </c>
      <c r="G10" s="211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675</v>
      </c>
      <c r="B11" s="68"/>
      <c r="C11" s="69" t="s">
        <v>676</v>
      </c>
      <c r="D11" s="188" t="s">
        <v>659</v>
      </c>
      <c r="E11" s="185" t="s">
        <v>660</v>
      </c>
      <c r="F11" s="181" t="s">
        <v>661</v>
      </c>
      <c r="G11" s="181" t="s">
        <v>660</v>
      </c>
      <c r="H11" s="145" t="s">
        <v>662</v>
      </c>
      <c r="I11" s="146">
        <f>DATE(2021,8,6+30)</f>
        <v>44444</v>
      </c>
      <c r="J11" s="147">
        <f>DATE(2021,9,5+7)</f>
        <v>44451</v>
      </c>
      <c r="K11" s="204"/>
    </row>
    <row r="12" spans="1:12" ht="26.1" customHeight="1" x14ac:dyDescent="0.2">
      <c r="A12" s="89" t="s">
        <v>279</v>
      </c>
      <c r="B12" s="68"/>
      <c r="C12" s="69" t="s">
        <v>648</v>
      </c>
      <c r="D12" s="199" t="s">
        <v>663</v>
      </c>
      <c r="E12" s="185" t="s">
        <v>664</v>
      </c>
      <c r="F12" s="181" t="s">
        <v>665</v>
      </c>
      <c r="G12" s="181" t="s">
        <v>666</v>
      </c>
      <c r="H12" s="145" t="s">
        <v>667</v>
      </c>
      <c r="I12" s="146">
        <f>DATE(2021,8,8+30)</f>
        <v>44446</v>
      </c>
      <c r="J12" s="147">
        <f>DATE(2021,9,7+7)</f>
        <v>44453</v>
      </c>
      <c r="K12" s="204"/>
    </row>
    <row r="13" spans="1:12" ht="26.1" customHeight="1" x14ac:dyDescent="0.2">
      <c r="A13" s="89" t="s">
        <v>280</v>
      </c>
      <c r="B13" s="68"/>
      <c r="C13" s="69" t="s">
        <v>649</v>
      </c>
      <c r="D13" s="145" t="s">
        <v>668</v>
      </c>
      <c r="E13" s="185" t="s">
        <v>669</v>
      </c>
      <c r="F13" s="181" t="s">
        <v>668</v>
      </c>
      <c r="G13" s="181" t="s">
        <v>669</v>
      </c>
      <c r="H13" s="145" t="s">
        <v>670</v>
      </c>
      <c r="I13" s="146">
        <f>DATE(2021,8,9+30)</f>
        <v>44447</v>
      </c>
      <c r="J13" s="147">
        <f>DATE(2021,9,8+7)</f>
        <v>44454</v>
      </c>
      <c r="K13" s="204"/>
    </row>
    <row r="14" spans="1:12" ht="26.1" customHeight="1" x14ac:dyDescent="0.2">
      <c r="A14" s="89" t="s">
        <v>675</v>
      </c>
      <c r="B14" s="68"/>
      <c r="C14" s="69" t="s">
        <v>677</v>
      </c>
      <c r="D14" s="145" t="s">
        <v>671</v>
      </c>
      <c r="E14" s="145" t="s">
        <v>672</v>
      </c>
      <c r="F14" s="184" t="s">
        <v>673</v>
      </c>
      <c r="G14" s="182" t="s">
        <v>672</v>
      </c>
      <c r="H14" s="145" t="s">
        <v>674</v>
      </c>
      <c r="I14" s="146">
        <f>DATE(2021,8,13+30)</f>
        <v>44451</v>
      </c>
      <c r="J14" s="147">
        <f>DATE(2021,9,12+7)</f>
        <v>44458</v>
      </c>
      <c r="K14" s="204"/>
    </row>
    <row r="15" spans="1:12" ht="26.1" customHeight="1" x14ac:dyDescent="0.2">
      <c r="A15" s="89" t="s">
        <v>279</v>
      </c>
      <c r="B15" s="68"/>
      <c r="C15" s="69" t="s">
        <v>678</v>
      </c>
      <c r="D15" s="214" t="s">
        <v>688</v>
      </c>
      <c r="E15" s="215" t="s">
        <v>698</v>
      </c>
      <c r="F15" s="184" t="s">
        <v>707</v>
      </c>
      <c r="G15" s="181" t="s">
        <v>662</v>
      </c>
      <c r="H15" s="145" t="s">
        <v>718</v>
      </c>
      <c r="I15" s="146">
        <f>DATE(2021,8,15+30)</f>
        <v>44453</v>
      </c>
      <c r="J15" s="147">
        <f>DATE(2021,9,14+7)</f>
        <v>44460</v>
      </c>
      <c r="K15" s="204"/>
    </row>
    <row r="16" spans="1:12" ht="26.1" customHeight="1" x14ac:dyDescent="0.2">
      <c r="A16" s="89" t="s">
        <v>280</v>
      </c>
      <c r="B16" s="68"/>
      <c r="C16" s="69" t="s">
        <v>679</v>
      </c>
      <c r="D16" s="145" t="s">
        <v>689</v>
      </c>
      <c r="E16" s="186" t="s">
        <v>699</v>
      </c>
      <c r="F16" s="184" t="s">
        <v>689</v>
      </c>
      <c r="G16" s="201" t="s">
        <v>714</v>
      </c>
      <c r="H16" s="145" t="s">
        <v>719</v>
      </c>
      <c r="I16" s="146">
        <f>DATE(2021,8,16+30)</f>
        <v>44454</v>
      </c>
      <c r="J16" s="147">
        <f>DATE(2021,9,15+7)</f>
        <v>44461</v>
      </c>
      <c r="K16" s="204"/>
    </row>
    <row r="17" spans="1:28" ht="26.1" customHeight="1" x14ac:dyDescent="0.2">
      <c r="A17" s="89" t="s">
        <v>675</v>
      </c>
      <c r="B17" s="68"/>
      <c r="C17" s="69" t="s">
        <v>680</v>
      </c>
      <c r="D17" s="145" t="s">
        <v>690</v>
      </c>
      <c r="E17" s="198" t="s">
        <v>700</v>
      </c>
      <c r="F17" s="184" t="s">
        <v>708</v>
      </c>
      <c r="G17" s="201" t="s">
        <v>700</v>
      </c>
      <c r="H17" s="145" t="s">
        <v>703</v>
      </c>
      <c r="I17" s="146">
        <f>DATE(2021,8,20+30)</f>
        <v>44458</v>
      </c>
      <c r="J17" s="147">
        <f>DATE(2021,9,19+7)</f>
        <v>44465</v>
      </c>
      <c r="K17" s="204"/>
    </row>
    <row r="18" spans="1:28" ht="26.1" customHeight="1" x14ac:dyDescent="0.2">
      <c r="A18" s="89" t="s">
        <v>279</v>
      </c>
      <c r="B18" s="68"/>
      <c r="C18" s="69" t="s">
        <v>681</v>
      </c>
      <c r="D18" s="145" t="s">
        <v>691</v>
      </c>
      <c r="E18" s="198" t="s">
        <v>674</v>
      </c>
      <c r="F18" s="184" t="s">
        <v>709</v>
      </c>
      <c r="G18" s="201" t="s">
        <v>715</v>
      </c>
      <c r="H18" s="145" t="s">
        <v>720</v>
      </c>
      <c r="I18" s="146">
        <f>DATE(2021,8,22+30)</f>
        <v>44460</v>
      </c>
      <c r="J18" s="147">
        <f>DATE(2021,9,21+7)</f>
        <v>44467</v>
      </c>
      <c r="K18" s="204"/>
    </row>
    <row r="19" spans="1:28" ht="26.1" customHeight="1" x14ac:dyDescent="0.2">
      <c r="A19" s="89" t="s">
        <v>280</v>
      </c>
      <c r="B19" s="68"/>
      <c r="C19" s="69" t="s">
        <v>682</v>
      </c>
      <c r="D19" s="145" t="s">
        <v>692</v>
      </c>
      <c r="E19" s="198" t="s">
        <v>701</v>
      </c>
      <c r="F19" s="184" t="s">
        <v>692</v>
      </c>
      <c r="G19" s="201" t="s">
        <v>701</v>
      </c>
      <c r="H19" s="145" t="s">
        <v>721</v>
      </c>
      <c r="I19" s="146">
        <f>DATE(2021,8,23+30)</f>
        <v>44461</v>
      </c>
      <c r="J19" s="147">
        <f>DATE(2021,9,22+7)</f>
        <v>44468</v>
      </c>
      <c r="K19" s="204"/>
    </row>
    <row r="20" spans="1:28" ht="26.1" customHeight="1" x14ac:dyDescent="0.2">
      <c r="A20" s="89" t="s">
        <v>675</v>
      </c>
      <c r="B20" s="68"/>
      <c r="C20" s="69" t="s">
        <v>683</v>
      </c>
      <c r="D20" s="145" t="s">
        <v>693</v>
      </c>
      <c r="E20" s="200" t="s">
        <v>702</v>
      </c>
      <c r="F20" s="181" t="s">
        <v>710</v>
      </c>
      <c r="G20" s="201" t="s">
        <v>702</v>
      </c>
      <c r="H20" s="145" t="s">
        <v>706</v>
      </c>
      <c r="I20" s="146">
        <f>DATE(2021,8,27+30)</f>
        <v>44465</v>
      </c>
      <c r="J20" s="147">
        <f>DATE(2021,9,26+7)</f>
        <v>44472</v>
      </c>
      <c r="K20" s="204"/>
    </row>
    <row r="21" spans="1:28" ht="26.1" customHeight="1" x14ac:dyDescent="0.2">
      <c r="A21" s="89" t="s">
        <v>279</v>
      </c>
      <c r="B21" s="68"/>
      <c r="C21" s="69" t="s">
        <v>684</v>
      </c>
      <c r="D21" s="145" t="s">
        <v>694</v>
      </c>
      <c r="E21" s="200" t="s">
        <v>703</v>
      </c>
      <c r="F21" s="181" t="s">
        <v>711</v>
      </c>
      <c r="G21" s="201" t="s">
        <v>716</v>
      </c>
      <c r="H21" s="145" t="s">
        <v>722</v>
      </c>
      <c r="I21" s="146">
        <f>DATE(2021,8,29+30)</f>
        <v>44467</v>
      </c>
      <c r="J21" s="147">
        <f>DATE(2021,9,28+7)</f>
        <v>44474</v>
      </c>
      <c r="K21" s="204"/>
    </row>
    <row r="22" spans="1:28" ht="26.1" customHeight="1" x14ac:dyDescent="0.2">
      <c r="A22" s="89" t="s">
        <v>280</v>
      </c>
      <c r="B22" s="68"/>
      <c r="C22" s="69" t="s">
        <v>685</v>
      </c>
      <c r="D22" s="145" t="s">
        <v>695</v>
      </c>
      <c r="E22" s="200" t="s">
        <v>704</v>
      </c>
      <c r="F22" s="181" t="s">
        <v>695</v>
      </c>
      <c r="G22" s="201" t="s">
        <v>704</v>
      </c>
      <c r="H22" s="145" t="s">
        <v>723</v>
      </c>
      <c r="I22" s="146">
        <f>DATE(2021,8,30+30)</f>
        <v>44468</v>
      </c>
      <c r="J22" s="147">
        <f>DATE(2021,9,29+7)</f>
        <v>44475</v>
      </c>
      <c r="K22" s="204"/>
    </row>
    <row r="23" spans="1:28" ht="25.5" customHeight="1" x14ac:dyDescent="0.2">
      <c r="A23" s="159" t="s">
        <v>675</v>
      </c>
      <c r="B23" s="160"/>
      <c r="C23" s="161" t="s">
        <v>686</v>
      </c>
      <c r="D23" s="145" t="s">
        <v>696</v>
      </c>
      <c r="E23" s="205" t="s">
        <v>705</v>
      </c>
      <c r="F23" s="183" t="s">
        <v>712</v>
      </c>
      <c r="G23" s="202" t="s">
        <v>705</v>
      </c>
      <c r="H23" s="167" t="s">
        <v>724</v>
      </c>
      <c r="I23" s="146">
        <f>DATE(2021,9,3+30)</f>
        <v>44472</v>
      </c>
      <c r="J23" s="147">
        <f>DATE(2021,10,3+7)</f>
        <v>44479</v>
      </c>
      <c r="K23" s="204"/>
    </row>
    <row r="24" spans="1:28" ht="24.75" customHeight="1" x14ac:dyDescent="0.2">
      <c r="A24" s="170" t="s">
        <v>279</v>
      </c>
      <c r="B24" s="172"/>
      <c r="C24" s="173" t="s">
        <v>687</v>
      </c>
      <c r="D24" s="112" t="s">
        <v>697</v>
      </c>
      <c r="E24" s="112" t="s">
        <v>706</v>
      </c>
      <c r="F24" s="112" t="s">
        <v>713</v>
      </c>
      <c r="G24" s="181" t="s">
        <v>717</v>
      </c>
      <c r="H24" s="145" t="s">
        <v>725</v>
      </c>
      <c r="I24" s="146">
        <f>DATE(2021,9,5+30)</f>
        <v>44474</v>
      </c>
      <c r="J24" s="147">
        <f>DATE(2021,10,5+7)</f>
        <v>44481</v>
      </c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B0CF19DF-8D87-4F6E-A75B-EEDD18CDCEED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H39"/>
  <sheetViews>
    <sheetView showGridLines="0" showOutlineSymbols="0" topLeftCell="A21" zoomScale="60" zoomScaleNormal="55" workbookViewId="0">
      <selection activeCell="A25" sqref="A25:A39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258">
        <v>43556</v>
      </c>
      <c r="R4" s="259"/>
    </row>
    <row r="5" spans="1:18" ht="24" customHeight="1" x14ac:dyDescent="0.2">
      <c r="A5" s="260" t="s">
        <v>27</v>
      </c>
      <c r="B5" s="260"/>
      <c r="C5" s="260"/>
      <c r="D5" s="58"/>
    </row>
    <row r="6" spans="1:18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79" t="s">
        <v>8</v>
      </c>
      <c r="O9" s="80" t="s">
        <v>9</v>
      </c>
      <c r="P9" s="110" t="s">
        <v>10</v>
      </c>
    </row>
    <row r="10" spans="1:18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53</v>
      </c>
      <c r="B11" s="68"/>
      <c r="C11" s="69" t="s">
        <v>70</v>
      </c>
      <c r="D11" s="70">
        <v>43556</v>
      </c>
      <c r="E11" s="98" t="s">
        <v>47</v>
      </c>
      <c r="F11" s="99" t="s">
        <v>33</v>
      </c>
      <c r="G11" s="53">
        <f>D11-4</f>
        <v>43552</v>
      </c>
      <c r="H11" s="74" t="s">
        <v>33</v>
      </c>
      <c r="I11" s="104">
        <v>43556</v>
      </c>
      <c r="J11" s="98" t="s">
        <v>67</v>
      </c>
      <c r="K11" s="112">
        <f>D11-4</f>
        <v>43552</v>
      </c>
      <c r="L11" s="74"/>
      <c r="M11" s="85">
        <v>43560</v>
      </c>
      <c r="N11" s="105">
        <v>43589</v>
      </c>
      <c r="O11" s="85">
        <f t="shared" ref="O11:O17" si="0">N11+6</f>
        <v>43595</v>
      </c>
      <c r="P11" s="86">
        <f>N11+7</f>
        <v>43596</v>
      </c>
      <c r="Q11" s="72" t="s">
        <v>29</v>
      </c>
    </row>
    <row r="12" spans="1:18" ht="26.1" customHeight="1" x14ac:dyDescent="0.2">
      <c r="A12" s="89" t="s">
        <v>64</v>
      </c>
      <c r="B12" s="68"/>
      <c r="C12" s="69" t="s">
        <v>72</v>
      </c>
      <c r="D12" s="70">
        <v>43557</v>
      </c>
      <c r="E12" s="98" t="s">
        <v>67</v>
      </c>
      <c r="F12" s="99" t="s">
        <v>33</v>
      </c>
      <c r="G12" s="53">
        <f>D12-4</f>
        <v>43553</v>
      </c>
      <c r="H12" s="74" t="s">
        <v>33</v>
      </c>
      <c r="I12" s="104">
        <v>43558</v>
      </c>
      <c r="J12" s="98" t="s">
        <v>48</v>
      </c>
      <c r="K12" s="112">
        <f>I12-2</f>
        <v>43556</v>
      </c>
      <c r="L12" s="74"/>
      <c r="M12" s="85">
        <v>43562</v>
      </c>
      <c r="N12" s="105">
        <v>43589</v>
      </c>
      <c r="O12" s="85">
        <f t="shared" si="0"/>
        <v>43595</v>
      </c>
      <c r="P12" s="86">
        <f>N12+7</f>
        <v>43596</v>
      </c>
      <c r="Q12" s="72" t="s">
        <v>28</v>
      </c>
    </row>
    <row r="13" spans="1:18" ht="26.1" customHeight="1" x14ac:dyDescent="0.2">
      <c r="A13" s="89" t="s">
        <v>57</v>
      </c>
      <c r="B13" s="68"/>
      <c r="C13" s="69" t="s">
        <v>76</v>
      </c>
      <c r="D13" s="70">
        <v>43560</v>
      </c>
      <c r="E13" s="98" t="s">
        <v>49</v>
      </c>
      <c r="F13" s="99" t="s">
        <v>33</v>
      </c>
      <c r="G13" s="53">
        <f>D13-2</f>
        <v>43558</v>
      </c>
      <c r="H13" s="74" t="s">
        <v>33</v>
      </c>
      <c r="I13" s="104">
        <v>43560</v>
      </c>
      <c r="J13" s="98" t="s">
        <v>49</v>
      </c>
      <c r="K13" s="112">
        <f>D13-2</f>
        <v>43558</v>
      </c>
      <c r="L13" s="74"/>
      <c r="M13" s="85">
        <v>43563</v>
      </c>
      <c r="N13" s="105">
        <v>43590</v>
      </c>
      <c r="O13" s="85">
        <f t="shared" si="0"/>
        <v>43596</v>
      </c>
      <c r="P13" s="86">
        <f>N13+7</f>
        <v>43597</v>
      </c>
      <c r="Q13" s="72"/>
    </row>
    <row r="14" spans="1:18" ht="26.1" customHeight="1" x14ac:dyDescent="0.2">
      <c r="A14" s="89" t="s">
        <v>53</v>
      </c>
      <c r="B14" s="68"/>
      <c r="C14" s="69" t="s">
        <v>92</v>
      </c>
      <c r="D14" s="70">
        <v>43563</v>
      </c>
      <c r="E14" s="98" t="s">
        <v>41</v>
      </c>
      <c r="F14" s="99"/>
      <c r="G14" s="53">
        <f>D14-4</f>
        <v>43559</v>
      </c>
      <c r="H14" s="74"/>
      <c r="I14" s="70">
        <v>43563</v>
      </c>
      <c r="J14" s="98" t="s">
        <v>102</v>
      </c>
      <c r="K14" s="113">
        <f>I14-4</f>
        <v>43559</v>
      </c>
      <c r="L14" s="102"/>
      <c r="M14" s="85">
        <v>43567</v>
      </c>
      <c r="N14" s="105">
        <v>43596</v>
      </c>
      <c r="O14" s="85">
        <f t="shared" si="0"/>
        <v>43602</v>
      </c>
      <c r="P14" s="86">
        <f t="shared" ref="P14:P23" si="1">N14+7</f>
        <v>43603</v>
      </c>
      <c r="Q14" s="72"/>
    </row>
    <row r="15" spans="1:18" ht="26.1" customHeight="1" x14ac:dyDescent="0.2">
      <c r="A15" s="89" t="s">
        <v>64</v>
      </c>
      <c r="B15" s="68"/>
      <c r="C15" s="69" t="s">
        <v>93</v>
      </c>
      <c r="D15" s="70">
        <v>43564</v>
      </c>
      <c r="E15" s="98" t="s">
        <v>102</v>
      </c>
      <c r="F15" s="99"/>
      <c r="G15" s="53">
        <f>D15-4</f>
        <v>43560</v>
      </c>
      <c r="H15" s="74"/>
      <c r="I15" s="70">
        <v>43565</v>
      </c>
      <c r="J15" s="98" t="s">
        <v>105</v>
      </c>
      <c r="K15" s="112">
        <f>I15-2</f>
        <v>43563</v>
      </c>
      <c r="L15" s="74"/>
      <c r="M15" s="85">
        <v>43569</v>
      </c>
      <c r="N15" s="105">
        <v>43596</v>
      </c>
      <c r="O15" s="85">
        <f t="shared" si="0"/>
        <v>43602</v>
      </c>
      <c r="P15" s="86">
        <f t="shared" si="1"/>
        <v>43603</v>
      </c>
      <c r="Q15" s="72"/>
    </row>
    <row r="16" spans="1:18" ht="26.1" customHeight="1" x14ac:dyDescent="0.2">
      <c r="A16" s="89" t="s">
        <v>57</v>
      </c>
      <c r="B16" s="68"/>
      <c r="C16" s="69" t="s">
        <v>94</v>
      </c>
      <c r="D16" s="70">
        <v>43567</v>
      </c>
      <c r="E16" s="98" t="s">
        <v>60</v>
      </c>
      <c r="F16" s="99"/>
      <c r="G16" s="53">
        <f>D16-2</f>
        <v>43565</v>
      </c>
      <c r="H16" s="74"/>
      <c r="I16" s="70">
        <v>43567</v>
      </c>
      <c r="J16" s="98" t="s">
        <v>60</v>
      </c>
      <c r="K16" s="113">
        <f>D16-2</f>
        <v>43565</v>
      </c>
      <c r="L16" s="74"/>
      <c r="M16" s="85">
        <v>43570</v>
      </c>
      <c r="N16" s="105">
        <v>43597</v>
      </c>
      <c r="O16" s="85">
        <f t="shared" si="0"/>
        <v>43603</v>
      </c>
      <c r="P16" s="86">
        <f t="shared" si="1"/>
        <v>43604</v>
      </c>
      <c r="Q16" s="72"/>
    </row>
    <row r="17" spans="1:34" ht="26.1" customHeight="1" x14ac:dyDescent="0.2">
      <c r="A17" s="89" t="s">
        <v>53</v>
      </c>
      <c r="B17" s="68"/>
      <c r="C17" s="69" t="s">
        <v>95</v>
      </c>
      <c r="D17" s="70">
        <v>43570</v>
      </c>
      <c r="E17" s="98" t="s">
        <v>44</v>
      </c>
      <c r="F17" s="99"/>
      <c r="G17" s="53">
        <f>D17-4</f>
        <v>43566</v>
      </c>
      <c r="H17" s="74"/>
      <c r="I17" s="70">
        <v>43570</v>
      </c>
      <c r="J17" s="98" t="s">
        <v>103</v>
      </c>
      <c r="K17" s="113">
        <f>I17-4</f>
        <v>43566</v>
      </c>
      <c r="L17" s="74"/>
      <c r="M17" s="85">
        <v>43574</v>
      </c>
      <c r="N17" s="105">
        <v>43603</v>
      </c>
      <c r="O17" s="85">
        <f t="shared" si="0"/>
        <v>43609</v>
      </c>
      <c r="P17" s="86">
        <f t="shared" si="1"/>
        <v>43610</v>
      </c>
      <c r="Q17" s="72"/>
    </row>
    <row r="18" spans="1:34" ht="26.1" customHeight="1" x14ac:dyDescent="0.2">
      <c r="A18" s="89" t="s">
        <v>64</v>
      </c>
      <c r="B18" s="68"/>
      <c r="C18" s="69" t="s">
        <v>96</v>
      </c>
      <c r="D18" s="70">
        <v>43571</v>
      </c>
      <c r="E18" s="98" t="s">
        <v>103</v>
      </c>
      <c r="F18" s="99"/>
      <c r="G18" s="53">
        <f>D18-4</f>
        <v>43567</v>
      </c>
      <c r="H18" s="74"/>
      <c r="I18" s="70">
        <v>43572</v>
      </c>
      <c r="J18" s="98" t="s">
        <v>106</v>
      </c>
      <c r="K18" s="112">
        <f>I18-2</f>
        <v>43570</v>
      </c>
      <c r="L18" s="74"/>
      <c r="M18" s="85">
        <v>43576</v>
      </c>
      <c r="N18" s="105">
        <v>43603</v>
      </c>
      <c r="O18" s="85">
        <v>43609</v>
      </c>
      <c r="P18" s="86">
        <f t="shared" si="1"/>
        <v>43610</v>
      </c>
      <c r="Q18" s="72"/>
    </row>
    <row r="19" spans="1:34" ht="26.1" customHeight="1" x14ac:dyDescent="0.2">
      <c r="A19" s="89" t="s">
        <v>57</v>
      </c>
      <c r="B19" s="68"/>
      <c r="C19" s="69" t="s">
        <v>97</v>
      </c>
      <c r="D19" s="70">
        <v>43574</v>
      </c>
      <c r="E19" s="98" t="s">
        <v>63</v>
      </c>
      <c r="F19" s="99"/>
      <c r="G19" s="53">
        <f>D19-2</f>
        <v>43572</v>
      </c>
      <c r="H19" s="74"/>
      <c r="I19" s="70">
        <v>43574</v>
      </c>
      <c r="J19" s="98" t="s">
        <v>63</v>
      </c>
      <c r="K19" s="112">
        <f>D19-2</f>
        <v>43572</v>
      </c>
      <c r="L19" s="74"/>
      <c r="M19" s="85">
        <v>43577</v>
      </c>
      <c r="N19" s="105">
        <v>43604</v>
      </c>
      <c r="O19" s="85">
        <f>N19+6</f>
        <v>43610</v>
      </c>
      <c r="P19" s="86">
        <f t="shared" si="1"/>
        <v>43611</v>
      </c>
      <c r="Q19" s="72"/>
    </row>
    <row r="20" spans="1:34" ht="26.1" customHeight="1" x14ac:dyDescent="0.2">
      <c r="A20" s="89" t="s">
        <v>53</v>
      </c>
      <c r="B20" s="68"/>
      <c r="C20" s="69" t="s">
        <v>98</v>
      </c>
      <c r="D20" s="70">
        <v>43577</v>
      </c>
      <c r="E20" s="98" t="s">
        <v>31</v>
      </c>
      <c r="F20" s="99"/>
      <c r="G20" s="53">
        <f>D20-4</f>
        <v>43573</v>
      </c>
      <c r="H20" s="74"/>
      <c r="I20" s="70">
        <v>43577</v>
      </c>
      <c r="J20" s="98" t="s">
        <v>104</v>
      </c>
      <c r="K20" s="112">
        <f>D20-4</f>
        <v>43573</v>
      </c>
      <c r="L20" s="74"/>
      <c r="M20" s="85">
        <v>43581</v>
      </c>
      <c r="N20" s="105">
        <v>43610</v>
      </c>
      <c r="O20" s="85">
        <f>N20+6</f>
        <v>43616</v>
      </c>
      <c r="P20" s="86">
        <f t="shared" si="1"/>
        <v>43617</v>
      </c>
      <c r="Q20" s="72"/>
    </row>
    <row r="21" spans="1:34" ht="26.1" customHeight="1" x14ac:dyDescent="0.2">
      <c r="A21" s="89" t="s">
        <v>64</v>
      </c>
      <c r="B21" s="68"/>
      <c r="C21" s="69" t="s">
        <v>99</v>
      </c>
      <c r="D21" s="70">
        <v>43578</v>
      </c>
      <c r="E21" s="98" t="s">
        <v>104</v>
      </c>
      <c r="F21" s="99"/>
      <c r="G21" s="53">
        <f>D21-4</f>
        <v>43574</v>
      </c>
      <c r="H21" s="74"/>
      <c r="I21" s="70">
        <v>43579</v>
      </c>
      <c r="J21" s="98" t="s">
        <v>107</v>
      </c>
      <c r="K21" s="112">
        <f>I21-2</f>
        <v>43577</v>
      </c>
      <c r="L21" s="74"/>
      <c r="M21" s="85">
        <v>43583</v>
      </c>
      <c r="N21" s="105">
        <v>43610</v>
      </c>
      <c r="O21" s="85">
        <f>N21+6</f>
        <v>43616</v>
      </c>
      <c r="P21" s="86">
        <f t="shared" si="1"/>
        <v>43617</v>
      </c>
      <c r="Q21" s="72"/>
    </row>
    <row r="22" spans="1:34" ht="26.1" customHeight="1" x14ac:dyDescent="0.2">
      <c r="A22" s="89" t="s">
        <v>57</v>
      </c>
      <c r="B22" s="68"/>
      <c r="C22" s="69" t="s">
        <v>100</v>
      </c>
      <c r="D22" s="70">
        <v>43581</v>
      </c>
      <c r="E22" s="98" t="s">
        <v>69</v>
      </c>
      <c r="F22" s="99" t="s">
        <v>33</v>
      </c>
      <c r="G22" s="53">
        <f>D22-2</f>
        <v>43579</v>
      </c>
      <c r="H22" s="74" t="s">
        <v>33</v>
      </c>
      <c r="I22" s="70">
        <v>43581</v>
      </c>
      <c r="J22" s="98" t="s">
        <v>69</v>
      </c>
      <c r="K22" s="112">
        <f>I22-2</f>
        <v>43579</v>
      </c>
      <c r="L22" s="74"/>
      <c r="M22" s="85">
        <v>43584</v>
      </c>
      <c r="N22" s="105">
        <v>43611</v>
      </c>
      <c r="O22" s="85">
        <f>N22+6</f>
        <v>43617</v>
      </c>
      <c r="P22" s="86">
        <f t="shared" si="1"/>
        <v>43618</v>
      </c>
      <c r="Q22" s="72" t="s">
        <v>28</v>
      </c>
    </row>
    <row r="23" spans="1:34" ht="26.1" customHeight="1" x14ac:dyDescent="0.2">
      <c r="A23" s="89" t="s">
        <v>53</v>
      </c>
      <c r="B23" s="68"/>
      <c r="C23" s="69" t="s">
        <v>101</v>
      </c>
      <c r="D23" s="70">
        <v>43584</v>
      </c>
      <c r="E23" s="98" t="s">
        <v>46</v>
      </c>
      <c r="F23" s="99" t="s">
        <v>33</v>
      </c>
      <c r="G23" s="53">
        <f>D23-4</f>
        <v>43580</v>
      </c>
      <c r="H23" s="74" t="s">
        <v>33</v>
      </c>
      <c r="I23" s="70">
        <v>43584</v>
      </c>
      <c r="J23" s="98" t="s">
        <v>108</v>
      </c>
      <c r="K23" s="112">
        <f>D23-4</f>
        <v>43580</v>
      </c>
      <c r="L23" s="74"/>
      <c r="M23" s="85">
        <v>43588</v>
      </c>
      <c r="N23" s="105">
        <v>43617</v>
      </c>
      <c r="O23" s="85">
        <f>N23+6</f>
        <v>43623</v>
      </c>
      <c r="P23" s="86">
        <f t="shared" si="1"/>
        <v>43624</v>
      </c>
      <c r="Q23" s="72" t="s">
        <v>28</v>
      </c>
    </row>
    <row r="24" spans="1:34" ht="18.75" customHeight="1" x14ac:dyDescent="0.2">
      <c r="A24" s="67"/>
      <c r="B24" s="18"/>
      <c r="C24" s="9"/>
      <c r="D24" s="54"/>
      <c r="E24" s="55"/>
      <c r="F24" s="78"/>
      <c r="G24" s="54"/>
      <c r="H24" s="75"/>
      <c r="I24" s="75"/>
      <c r="J24" s="75"/>
      <c r="K24" s="75"/>
      <c r="L24" s="75"/>
      <c r="M24" s="75"/>
      <c r="N24" s="54"/>
      <c r="O24" s="54"/>
      <c r="P24" s="54"/>
      <c r="Q24" s="72"/>
    </row>
    <row r="25" spans="1:34" ht="26.25" customHeight="1" x14ac:dyDescent="0.2">
      <c r="A25" s="15" t="e">
        <f>A25:N39CFS : 貨物搬入場所</f>
        <v>#NAME?</v>
      </c>
      <c r="B25" s="15"/>
      <c r="J25" s="90"/>
      <c r="K25" s="90"/>
      <c r="L25" s="54"/>
      <c r="M25" s="54"/>
      <c r="N25" s="54"/>
      <c r="O25" s="108"/>
      <c r="P25" s="54"/>
      <c r="Q25" s="72"/>
    </row>
    <row r="26" spans="1:34" ht="26.25" customHeight="1" x14ac:dyDescent="0.2">
      <c r="A26" s="15"/>
      <c r="B26" s="92" t="s">
        <v>77</v>
      </c>
      <c r="C26" s="91" t="s">
        <v>78</v>
      </c>
      <c r="G26" s="92"/>
      <c r="H26" s="1"/>
      <c r="I26" s="114" t="s">
        <v>82</v>
      </c>
      <c r="K26" s="115" t="s">
        <v>87</v>
      </c>
      <c r="L26" s="108"/>
      <c r="M26" s="108"/>
      <c r="N26" s="54"/>
      <c r="O26" s="115"/>
      <c r="P26" s="108"/>
      <c r="Q26" s="108"/>
    </row>
    <row r="27" spans="1:34" s="2" customFormat="1" ht="26.25" customHeight="1" x14ac:dyDescent="0.2">
      <c r="A27" s="93"/>
      <c r="B27" s="93"/>
      <c r="C27" s="91" t="s">
        <v>79</v>
      </c>
      <c r="D27"/>
      <c r="E27"/>
      <c r="F27"/>
      <c r="G27" s="92"/>
      <c r="H27"/>
      <c r="I27" s="10"/>
      <c r="J27" s="108"/>
      <c r="K27" s="10" t="s">
        <v>89</v>
      </c>
      <c r="L27" s="108"/>
      <c r="M27" s="108"/>
      <c r="N27" s="10"/>
      <c r="O27" s="10"/>
      <c r="P27" s="108"/>
      <c r="Q27" s="108"/>
      <c r="R27"/>
    </row>
    <row r="28" spans="1:34" s="33" customFormat="1" ht="26.25" customHeight="1" x14ac:dyDescent="0.2">
      <c r="A28" s="94"/>
      <c r="B28" s="94"/>
      <c r="C28" s="15" t="s">
        <v>80</v>
      </c>
      <c r="D28"/>
      <c r="E28"/>
      <c r="F28"/>
      <c r="G28" s="92"/>
      <c r="H28" s="4"/>
      <c r="I28" s="10"/>
      <c r="J28" s="15"/>
      <c r="K28" s="116" t="s">
        <v>90</v>
      </c>
      <c r="L28" s="15"/>
      <c r="M28" s="15"/>
      <c r="N28" s="109"/>
      <c r="O28" s="116"/>
      <c r="P28" s="15"/>
      <c r="Q28" s="15"/>
      <c r="R28"/>
      <c r="S28"/>
      <c r="T28"/>
      <c r="U28"/>
      <c r="V28"/>
      <c r="W28"/>
      <c r="X28" s="15"/>
      <c r="Y28" s="15"/>
      <c r="Z28" s="15"/>
      <c r="AA28"/>
      <c r="AB28"/>
      <c r="AC28"/>
      <c r="AD28"/>
      <c r="AE28"/>
      <c r="AF28"/>
      <c r="AG28" s="90"/>
      <c r="AH28" s="90"/>
    </row>
    <row r="29" spans="1:34" s="33" customFormat="1" ht="26.25" customHeight="1" x14ac:dyDescent="0.2">
      <c r="A29" s="15"/>
      <c r="B29" s="15"/>
      <c r="C29" s="15" t="s">
        <v>81</v>
      </c>
      <c r="D29" s="96"/>
      <c r="E29" s="96"/>
      <c r="F29" s="97"/>
      <c r="G29"/>
      <c r="H29" s="1"/>
      <c r="I29" s="10"/>
      <c r="J29" s="15"/>
      <c r="K29" s="15" t="s">
        <v>91</v>
      </c>
      <c r="L29" s="15"/>
      <c r="M29" s="15"/>
      <c r="N29" s="109"/>
      <c r="O29" s="15"/>
      <c r="P29" s="15"/>
      <c r="Q29" s="15"/>
      <c r="R29" s="5"/>
      <c r="S29"/>
      <c r="T29" s="91"/>
      <c r="U29"/>
      <c r="V29"/>
      <c r="W29"/>
      <c r="X29" s="15"/>
      <c r="Y29" s="15"/>
      <c r="Z29" s="15"/>
      <c r="AA29" s="91"/>
      <c r="AB29"/>
      <c r="AC29"/>
      <c r="AD29"/>
      <c r="AE29" s="92"/>
      <c r="AF29" s="1"/>
      <c r="AG29" s="90"/>
      <c r="AH29" s="90"/>
    </row>
    <row r="30" spans="1:34" s="33" customFormat="1" ht="26.2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6"/>
      <c r="P30" s="19"/>
      <c r="S30"/>
      <c r="T30" s="10"/>
      <c r="U30"/>
      <c r="V30"/>
      <c r="W30"/>
      <c r="X30" s="15"/>
      <c r="Y30" s="93"/>
      <c r="Z30" s="93"/>
      <c r="AA30" s="91"/>
      <c r="AB30"/>
      <c r="AC30"/>
      <c r="AD30"/>
      <c r="AE30" s="92"/>
      <c r="AF30"/>
      <c r="AG30" s="90"/>
      <c r="AH30" s="90"/>
    </row>
    <row r="31" spans="1:34" s="33" customFormat="1" ht="26.25" customHeight="1" x14ac:dyDescent="0.2">
      <c r="A31" s="42" t="s">
        <v>1</v>
      </c>
      <c r="B31" s="43"/>
      <c r="C31" s="44"/>
      <c r="D31" s="45"/>
      <c r="E31" s="45"/>
      <c r="F31" s="45"/>
      <c r="G31" s="45"/>
      <c r="H31" s="51"/>
      <c r="I31" s="20"/>
      <c r="J31" s="20"/>
      <c r="K31" s="20"/>
      <c r="L31" s="20"/>
      <c r="M31" s="20"/>
      <c r="N31" s="14"/>
      <c r="O31" s="15"/>
      <c r="P31" s="15"/>
      <c r="Q31"/>
      <c r="R31"/>
      <c r="S31"/>
      <c r="T31" s="10"/>
      <c r="U31"/>
      <c r="V31"/>
      <c r="W31"/>
      <c r="X31"/>
      <c r="Y31" s="94"/>
      <c r="Z31" s="94"/>
      <c r="AA31" s="15"/>
      <c r="AB31"/>
      <c r="AC31"/>
      <c r="AD31"/>
      <c r="AE31" s="92"/>
      <c r="AF31" s="4"/>
      <c r="AG31" s="32"/>
      <c r="AH31" s="32"/>
    </row>
    <row r="32" spans="1:34" s="59" customFormat="1" ht="26.25" customHeight="1" x14ac:dyDescent="0.2">
      <c r="A32" s="106" t="s">
        <v>18</v>
      </c>
      <c r="B32" s="2"/>
      <c r="C32" s="2"/>
      <c r="D32" s="46"/>
      <c r="E32" s="2" t="s">
        <v>33</v>
      </c>
      <c r="F32" s="29"/>
      <c r="G32" s="46"/>
      <c r="H32" s="52"/>
      <c r="I32" s="2"/>
      <c r="J32" s="2"/>
      <c r="K32" s="2"/>
      <c r="L32" s="2"/>
      <c r="M32" s="2"/>
      <c r="N32" s="15"/>
      <c r="O32" s="15"/>
      <c r="P32" s="15"/>
      <c r="Q32"/>
      <c r="R32"/>
      <c r="S32"/>
      <c r="T32"/>
      <c r="U32"/>
      <c r="V32"/>
      <c r="W32"/>
      <c r="X32" s="15"/>
      <c r="Y32" s="15"/>
      <c r="Z32" s="15"/>
      <c r="AA32" s="15"/>
      <c r="AB32" s="96"/>
      <c r="AC32" s="96"/>
      <c r="AD32" s="97"/>
      <c r="AE32"/>
      <c r="AF32" s="1"/>
      <c r="AG32" s="32"/>
      <c r="AH32" s="32"/>
    </row>
    <row r="33" spans="1:18" s="59" customFormat="1" ht="26.25" customHeight="1" x14ac:dyDescent="0.2">
      <c r="A33" s="49" t="s">
        <v>17</v>
      </c>
      <c r="B33" s="27"/>
      <c r="C33" s="28"/>
      <c r="D33" s="50" t="s">
        <v>33</v>
      </c>
      <c r="E33" s="2"/>
      <c r="F33" s="2"/>
      <c r="G33" s="29"/>
      <c r="H33" s="52"/>
      <c r="I33" s="2"/>
      <c r="J33" s="2"/>
      <c r="K33" s="2"/>
      <c r="L33" s="2"/>
      <c r="M33" s="2"/>
      <c r="O33" s="15"/>
      <c r="P33" s="15"/>
      <c r="Q33"/>
      <c r="R33"/>
    </row>
    <row r="34" spans="1:18" s="59" customFormat="1" ht="26.25" customHeight="1" x14ac:dyDescent="0.2">
      <c r="A34" s="62" t="s">
        <v>33</v>
      </c>
      <c r="B34" s="63"/>
      <c r="C34" s="64"/>
      <c r="D34" s="65"/>
      <c r="E34" s="47"/>
      <c r="F34" s="47"/>
      <c r="G34" s="66"/>
      <c r="H34" s="48"/>
      <c r="I34" s="2"/>
      <c r="J34" s="2"/>
      <c r="K34" s="2"/>
      <c r="L34" s="2"/>
      <c r="M34" s="2"/>
      <c r="N34" s="58"/>
      <c r="O34"/>
      <c r="P34"/>
    </row>
    <row r="35" spans="1:18" s="59" customFormat="1" ht="17.25" customHeight="1" x14ac:dyDescent="0.2">
      <c r="A35" s="18"/>
      <c r="B35" s="56"/>
      <c r="C35" s="22"/>
      <c r="D35" s="60"/>
      <c r="E35" s="61"/>
      <c r="F35" s="41"/>
      <c r="G35" s="60"/>
      <c r="H35" s="40"/>
      <c r="I35" s="40"/>
      <c r="J35" s="40"/>
      <c r="K35" s="40"/>
      <c r="L35" s="40"/>
      <c r="M35" s="40"/>
      <c r="N35" s="60"/>
    </row>
    <row r="36" spans="1:18" s="59" customFormat="1" ht="26.25" customHeight="1" x14ac:dyDescent="0.2">
      <c r="A36" s="18" t="s">
        <v>123</v>
      </c>
      <c r="B36" s="56"/>
      <c r="C36" s="22"/>
      <c r="D36" s="60"/>
      <c r="E36" s="61"/>
      <c r="F36" s="41"/>
      <c r="G36" s="60"/>
      <c r="N36" s="58"/>
      <c r="O36" s="34"/>
    </row>
    <row r="37" spans="1:18" s="59" customFormat="1" ht="26.25" customHeight="1" x14ac:dyDescent="0.2">
      <c r="A37" s="58" t="s">
        <v>124</v>
      </c>
      <c r="B37" s="56"/>
      <c r="C37" s="22"/>
      <c r="D37" s="60"/>
      <c r="E37" s="61"/>
      <c r="F37" s="41"/>
      <c r="G37" s="60"/>
      <c r="N37" s="58"/>
      <c r="O37" s="32"/>
    </row>
    <row r="38" spans="1:18" s="59" customFormat="1" ht="26.25" customHeight="1" x14ac:dyDescent="0.2">
      <c r="A38" s="18" t="s">
        <v>125</v>
      </c>
      <c r="B38" s="18"/>
      <c r="C38" s="9"/>
      <c r="D38" s="60"/>
      <c r="E38" s="61"/>
      <c r="F38" s="41"/>
      <c r="G38" s="60"/>
      <c r="N38" s="58"/>
      <c r="O38" s="32"/>
    </row>
    <row r="39" spans="1:18" ht="26.25" customHeight="1" x14ac:dyDescent="0.2">
      <c r="A39" s="18" t="s">
        <v>126</v>
      </c>
      <c r="B39" s="18"/>
      <c r="C39" s="9"/>
      <c r="D39" s="60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00000000-0004-0000-02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BA42-6C84-40F7-B437-E3594F2575BC}">
  <dimension ref="A1:AB39"/>
  <sheetViews>
    <sheetView topLeftCell="A8" workbookViewId="0">
      <selection activeCell="D28" sqref="D28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0.875" style="203" bestFit="1" customWidth="1"/>
    <col min="5" max="5" width="15.375" style="203" bestFit="1" customWidth="1"/>
    <col min="6" max="6" width="20.625" style="203" bestFit="1" customWidth="1"/>
    <col min="7" max="7" width="20.375" style="203" customWidth="1"/>
    <col min="8" max="8" width="16.375" style="203" customWidth="1"/>
    <col min="9" max="9" width="22.625" style="203" customWidth="1"/>
    <col min="10" max="10" width="27.62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44420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12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13" t="s">
        <v>6</v>
      </c>
      <c r="E10" s="213" t="s">
        <v>5</v>
      </c>
      <c r="F10" s="213" t="s">
        <v>6</v>
      </c>
      <c r="G10" s="213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279</v>
      </c>
      <c r="B11" s="68"/>
      <c r="C11" s="69" t="s">
        <v>687</v>
      </c>
      <c r="D11" s="188" t="s">
        <v>697</v>
      </c>
      <c r="E11" s="185" t="s">
        <v>706</v>
      </c>
      <c r="F11" s="181" t="s">
        <v>713</v>
      </c>
      <c r="G11" s="181" t="s">
        <v>717</v>
      </c>
      <c r="H11" s="145" t="s">
        <v>725</v>
      </c>
      <c r="I11" s="146">
        <f>DATE(2021,9,5+30)</f>
        <v>44474</v>
      </c>
      <c r="J11" s="147">
        <f>DATE(2021,10,5+7)</f>
        <v>44481</v>
      </c>
      <c r="K11" s="204"/>
    </row>
    <row r="12" spans="1:12" ht="26.1" customHeight="1" x14ac:dyDescent="0.2">
      <c r="A12" s="89" t="s">
        <v>280</v>
      </c>
      <c r="B12" s="68"/>
      <c r="C12" s="69" t="s">
        <v>726</v>
      </c>
      <c r="D12" s="199" t="s">
        <v>738</v>
      </c>
      <c r="E12" s="185" t="s">
        <v>750</v>
      </c>
      <c r="F12" s="181" t="s">
        <v>738</v>
      </c>
      <c r="G12" s="181" t="s">
        <v>750</v>
      </c>
      <c r="H12" s="145" t="s">
        <v>761</v>
      </c>
      <c r="I12" s="146">
        <f>DATE(2021,9,6+30)</f>
        <v>44475</v>
      </c>
      <c r="J12" s="147">
        <f>DATE(2021,10,6+7)</f>
        <v>44482</v>
      </c>
      <c r="K12" s="204"/>
    </row>
    <row r="13" spans="1:12" ht="26.1" customHeight="1" x14ac:dyDescent="0.2">
      <c r="A13" s="89" t="s">
        <v>675</v>
      </c>
      <c r="B13" s="68"/>
      <c r="C13" s="69" t="s">
        <v>727</v>
      </c>
      <c r="D13" s="145" t="s">
        <v>739</v>
      </c>
      <c r="E13" s="185" t="s">
        <v>751</v>
      </c>
      <c r="F13" s="181" t="s">
        <v>762</v>
      </c>
      <c r="G13" s="181" t="s">
        <v>751</v>
      </c>
      <c r="H13" s="145" t="s">
        <v>754</v>
      </c>
      <c r="I13" s="146">
        <f>DATE(2021,9,10+30)</f>
        <v>44479</v>
      </c>
      <c r="J13" s="147">
        <f>DATE(2021,10,10+7)</f>
        <v>44486</v>
      </c>
      <c r="K13" s="204"/>
    </row>
    <row r="14" spans="1:12" ht="26.1" customHeight="1" x14ac:dyDescent="0.2">
      <c r="A14" s="89" t="s">
        <v>279</v>
      </c>
      <c r="B14" s="68"/>
      <c r="C14" s="69" t="s">
        <v>728</v>
      </c>
      <c r="D14" s="145" t="s">
        <v>740</v>
      </c>
      <c r="E14" s="145" t="s">
        <v>724</v>
      </c>
      <c r="F14" s="184" t="s">
        <v>763</v>
      </c>
      <c r="G14" s="182" t="s">
        <v>764</v>
      </c>
      <c r="H14" s="145" t="s">
        <v>765</v>
      </c>
      <c r="I14" s="146">
        <f>DATE(2021,9,12+30)</f>
        <v>44481</v>
      </c>
      <c r="J14" s="147">
        <f>DATE(2021,10,12+7)</f>
        <v>44488</v>
      </c>
      <c r="K14" s="204"/>
    </row>
    <row r="15" spans="1:12" ht="26.1" customHeight="1" x14ac:dyDescent="0.2">
      <c r="A15" s="89" t="s">
        <v>280</v>
      </c>
      <c r="B15" s="68"/>
      <c r="C15" s="69" t="s">
        <v>729</v>
      </c>
      <c r="D15" s="145" t="s">
        <v>741</v>
      </c>
      <c r="E15" s="186" t="s">
        <v>752</v>
      </c>
      <c r="F15" s="184" t="s">
        <v>741</v>
      </c>
      <c r="G15" s="181" t="s">
        <v>752</v>
      </c>
      <c r="H15" s="145" t="s">
        <v>766</v>
      </c>
      <c r="I15" s="146">
        <f>DATE(2021,9,13+30)</f>
        <v>44482</v>
      </c>
      <c r="J15" s="147">
        <f>DATE(2021,10,13+7)</f>
        <v>44489</v>
      </c>
      <c r="K15" s="204"/>
    </row>
    <row r="16" spans="1:12" ht="26.1" customHeight="1" x14ac:dyDescent="0.2">
      <c r="A16" s="89" t="s">
        <v>675</v>
      </c>
      <c r="B16" s="68"/>
      <c r="C16" s="69" t="s">
        <v>730</v>
      </c>
      <c r="D16" s="145" t="s">
        <v>742</v>
      </c>
      <c r="E16" s="186" t="s">
        <v>753</v>
      </c>
      <c r="F16" s="184" t="s">
        <v>767</v>
      </c>
      <c r="G16" s="201" t="s">
        <v>753</v>
      </c>
      <c r="H16" s="145" t="s">
        <v>757</v>
      </c>
      <c r="I16" s="146">
        <f>DATE(2021,9,17+30)</f>
        <v>44486</v>
      </c>
      <c r="J16" s="147">
        <f>DATE(2021,10,17+7)</f>
        <v>44493</v>
      </c>
      <c r="K16" s="204"/>
    </row>
    <row r="17" spans="1:28" ht="26.1" customHeight="1" x14ac:dyDescent="0.2">
      <c r="A17" s="89" t="s">
        <v>279</v>
      </c>
      <c r="B17" s="68"/>
      <c r="C17" s="69" t="s">
        <v>731</v>
      </c>
      <c r="D17" s="145" t="s">
        <v>743</v>
      </c>
      <c r="E17" s="198" t="s">
        <v>754</v>
      </c>
      <c r="F17" s="184" t="s">
        <v>768</v>
      </c>
      <c r="G17" s="201" t="s">
        <v>769</v>
      </c>
      <c r="H17" s="145" t="s">
        <v>770</v>
      </c>
      <c r="I17" s="146">
        <f>DATE(2021,9,19+30)</f>
        <v>44488</v>
      </c>
      <c r="J17" s="147">
        <f>DATE(2021,10,19+7)</f>
        <v>44495</v>
      </c>
      <c r="K17" s="204"/>
    </row>
    <row r="18" spans="1:28" ht="26.1" customHeight="1" x14ac:dyDescent="0.2">
      <c r="A18" s="89" t="s">
        <v>280</v>
      </c>
      <c r="B18" s="68"/>
      <c r="C18" s="69" t="s">
        <v>732</v>
      </c>
      <c r="D18" s="145" t="s">
        <v>744</v>
      </c>
      <c r="E18" s="198" t="s">
        <v>755</v>
      </c>
      <c r="F18" s="184" t="s">
        <v>744</v>
      </c>
      <c r="G18" s="201" t="s">
        <v>755</v>
      </c>
      <c r="H18" s="145" t="s">
        <v>771</v>
      </c>
      <c r="I18" s="146">
        <f>DATE(2021,9,20+30)</f>
        <v>44489</v>
      </c>
      <c r="J18" s="147">
        <f>DATE(2021,10,20+7)</f>
        <v>44496</v>
      </c>
      <c r="K18" s="204"/>
    </row>
    <row r="19" spans="1:28" ht="26.1" customHeight="1" x14ac:dyDescent="0.2">
      <c r="A19" s="89" t="s">
        <v>675</v>
      </c>
      <c r="B19" s="68"/>
      <c r="C19" s="69" t="s">
        <v>733</v>
      </c>
      <c r="D19" s="145" t="s">
        <v>745</v>
      </c>
      <c r="E19" s="198" t="s">
        <v>756</v>
      </c>
      <c r="F19" s="184" t="s">
        <v>772</v>
      </c>
      <c r="G19" s="201" t="s">
        <v>756</v>
      </c>
      <c r="H19" s="145" t="s">
        <v>760</v>
      </c>
      <c r="I19" s="146">
        <f>DATE(2021,9,24+30)</f>
        <v>44493</v>
      </c>
      <c r="J19" s="147">
        <f>DATE(2021,10,24+7)</f>
        <v>44500</v>
      </c>
      <c r="K19" s="204"/>
    </row>
    <row r="20" spans="1:28" ht="26.1" customHeight="1" x14ac:dyDescent="0.2">
      <c r="A20" s="89" t="s">
        <v>279</v>
      </c>
      <c r="B20" s="68"/>
      <c r="C20" s="69" t="s">
        <v>734</v>
      </c>
      <c r="D20" s="145" t="s">
        <v>746</v>
      </c>
      <c r="E20" s="200" t="s">
        <v>757</v>
      </c>
      <c r="F20" s="181" t="s">
        <v>773</v>
      </c>
      <c r="G20" s="201" t="s">
        <v>757</v>
      </c>
      <c r="H20" s="145" t="s">
        <v>774</v>
      </c>
      <c r="I20" s="146">
        <f>DATE(2021,9,26+30)</f>
        <v>44495</v>
      </c>
      <c r="J20" s="147">
        <f>DATE(2021,10,26+7)</f>
        <v>44502</v>
      </c>
      <c r="K20" s="204"/>
    </row>
    <row r="21" spans="1:28" ht="26.1" customHeight="1" x14ac:dyDescent="0.2">
      <c r="A21" s="89" t="s">
        <v>280</v>
      </c>
      <c r="B21" s="68"/>
      <c r="C21" s="69" t="s">
        <v>735</v>
      </c>
      <c r="D21" s="145" t="s">
        <v>747</v>
      </c>
      <c r="E21" s="200" t="s">
        <v>758</v>
      </c>
      <c r="F21" s="181" t="s">
        <v>747</v>
      </c>
      <c r="G21" s="201" t="s">
        <v>775</v>
      </c>
      <c r="H21" s="145" t="s">
        <v>776</v>
      </c>
      <c r="I21" s="146">
        <f>DATE(2021,9,27+30)</f>
        <v>44496</v>
      </c>
      <c r="J21" s="147">
        <f>DATE(2021,10,27+7)</f>
        <v>44503</v>
      </c>
      <c r="K21" s="204"/>
    </row>
    <row r="22" spans="1:28" ht="26.1" customHeight="1" x14ac:dyDescent="0.2">
      <c r="A22" s="89" t="s">
        <v>675</v>
      </c>
      <c r="B22" s="68"/>
      <c r="C22" s="69" t="s">
        <v>736</v>
      </c>
      <c r="D22" s="145" t="s">
        <v>748</v>
      </c>
      <c r="E22" s="200" t="s">
        <v>759</v>
      </c>
      <c r="F22" s="181" t="s">
        <v>777</v>
      </c>
      <c r="G22" s="201" t="s">
        <v>759</v>
      </c>
      <c r="H22" s="145" t="s">
        <v>778</v>
      </c>
      <c r="I22" s="146">
        <f>DATE(2021,10,1+30)</f>
        <v>44500</v>
      </c>
      <c r="J22" s="147">
        <f>DATE(2021,10,31+7)</f>
        <v>44507</v>
      </c>
      <c r="K22" s="204"/>
    </row>
    <row r="23" spans="1:28" ht="25.5" customHeight="1" x14ac:dyDescent="0.2">
      <c r="A23" s="159" t="s">
        <v>279</v>
      </c>
      <c r="B23" s="160"/>
      <c r="C23" s="161" t="s">
        <v>737</v>
      </c>
      <c r="D23" s="145" t="s">
        <v>749</v>
      </c>
      <c r="E23" s="205" t="s">
        <v>760</v>
      </c>
      <c r="F23" s="183" t="s">
        <v>779</v>
      </c>
      <c r="G23" s="202" t="s">
        <v>780</v>
      </c>
      <c r="H23" s="167" t="s">
        <v>781</v>
      </c>
      <c r="I23" s="146">
        <f>DATE(2021,10,3+30)</f>
        <v>44502</v>
      </c>
      <c r="J23" s="147">
        <f>DATE(2021,11,2+7)</f>
        <v>44509</v>
      </c>
      <c r="K23" s="204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6"/>
      <c r="J24" s="147"/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DDE7ECBE-3F0C-4D6F-A92C-4D893233F69A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5572-F7F4-4FC5-93E9-670968093C52}">
  <dimension ref="A1:AB39"/>
  <sheetViews>
    <sheetView topLeftCell="B7" workbookViewId="0">
      <selection activeCell="E27" sqref="E27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44445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16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17" t="s">
        <v>6</v>
      </c>
      <c r="E10" s="217" t="s">
        <v>5</v>
      </c>
      <c r="F10" s="217" t="s">
        <v>6</v>
      </c>
      <c r="G10" s="217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280</v>
      </c>
      <c r="B11" s="68"/>
      <c r="C11" s="69" t="s">
        <v>783</v>
      </c>
      <c r="D11" s="188" t="s">
        <v>784</v>
      </c>
      <c r="E11" s="185" t="s">
        <v>785</v>
      </c>
      <c r="F11" s="181" t="s">
        <v>784</v>
      </c>
      <c r="G11" s="181" t="s">
        <v>785</v>
      </c>
      <c r="H11" s="145" t="s">
        <v>786</v>
      </c>
      <c r="I11" s="146">
        <f>DATE(2021,10,4+30)</f>
        <v>44503</v>
      </c>
      <c r="J11" s="147">
        <f>DATE(2021,11,3+7)</f>
        <v>44510</v>
      </c>
      <c r="K11" s="204"/>
    </row>
    <row r="12" spans="1:12" ht="26.1" customHeight="1" x14ac:dyDescent="0.2">
      <c r="A12" s="89" t="s">
        <v>782</v>
      </c>
      <c r="B12" s="68"/>
      <c r="C12" s="69" t="s">
        <v>787</v>
      </c>
      <c r="D12" s="199" t="s">
        <v>788</v>
      </c>
      <c r="E12" s="185" t="s">
        <v>789</v>
      </c>
      <c r="F12" s="181" t="s">
        <v>790</v>
      </c>
      <c r="G12" s="181" t="s">
        <v>789</v>
      </c>
      <c r="H12" s="145" t="s">
        <v>791</v>
      </c>
      <c r="I12" s="146">
        <f>DATE(2021,10,8+30)</f>
        <v>44507</v>
      </c>
      <c r="J12" s="147">
        <f>DATE(2021,11,7+7)</f>
        <v>44514</v>
      </c>
      <c r="K12" s="204"/>
    </row>
    <row r="13" spans="1:12" ht="26.1" customHeight="1" x14ac:dyDescent="0.2">
      <c r="A13" s="89" t="s">
        <v>279</v>
      </c>
      <c r="B13" s="68"/>
      <c r="C13" s="69" t="s">
        <v>792</v>
      </c>
      <c r="D13" s="145" t="s">
        <v>793</v>
      </c>
      <c r="E13" s="185" t="s">
        <v>778</v>
      </c>
      <c r="F13" s="181" t="s">
        <v>794</v>
      </c>
      <c r="G13" s="181" t="s">
        <v>795</v>
      </c>
      <c r="H13" s="145" t="s">
        <v>796</v>
      </c>
      <c r="I13" s="146">
        <f>DATE(2021,10,10+30)</f>
        <v>44509</v>
      </c>
      <c r="J13" s="147">
        <f>DATE(2021,11,9+7)</f>
        <v>44516</v>
      </c>
      <c r="K13" s="204"/>
    </row>
    <row r="14" spans="1:12" ht="26.1" customHeight="1" x14ac:dyDescent="0.2">
      <c r="A14" s="89" t="s">
        <v>280</v>
      </c>
      <c r="B14" s="68"/>
      <c r="C14" s="69" t="s">
        <v>797</v>
      </c>
      <c r="D14" s="145" t="s">
        <v>798</v>
      </c>
      <c r="E14" s="145" t="s">
        <v>799</v>
      </c>
      <c r="F14" s="184" t="s">
        <v>798</v>
      </c>
      <c r="G14" s="182" t="s">
        <v>799</v>
      </c>
      <c r="H14" s="145" t="s">
        <v>800</v>
      </c>
      <c r="I14" s="146">
        <f>DATE(2021,10,11+30)</f>
        <v>44510</v>
      </c>
      <c r="J14" s="147">
        <f>DATE(2021,11,10+7)</f>
        <v>44517</v>
      </c>
      <c r="K14" s="204"/>
    </row>
    <row r="15" spans="1:12" ht="26.1" customHeight="1" x14ac:dyDescent="0.2">
      <c r="A15" s="89" t="s">
        <v>782</v>
      </c>
      <c r="B15" s="68"/>
      <c r="C15" s="69" t="s">
        <v>801</v>
      </c>
      <c r="D15" s="145" t="s">
        <v>802</v>
      </c>
      <c r="E15" s="186" t="s">
        <v>803</v>
      </c>
      <c r="F15" s="184" t="s">
        <v>804</v>
      </c>
      <c r="G15" s="181" t="s">
        <v>803</v>
      </c>
      <c r="H15" s="145" t="s">
        <v>805</v>
      </c>
      <c r="I15" s="146">
        <f>DATE(2021,10,15+30)</f>
        <v>44514</v>
      </c>
      <c r="J15" s="147">
        <f>DATE(2021,11,14+7)</f>
        <v>44521</v>
      </c>
      <c r="K15" s="204"/>
    </row>
    <row r="16" spans="1:12" ht="26.1" customHeight="1" x14ac:dyDescent="0.2">
      <c r="A16" s="89" t="s">
        <v>279</v>
      </c>
      <c r="B16" s="68"/>
      <c r="C16" s="69" t="s">
        <v>806</v>
      </c>
      <c r="D16" s="145" t="s">
        <v>807</v>
      </c>
      <c r="E16" s="186" t="s">
        <v>791</v>
      </c>
      <c r="F16" s="184" t="s">
        <v>808</v>
      </c>
      <c r="G16" s="201" t="s">
        <v>809</v>
      </c>
      <c r="H16" s="145" t="s">
        <v>810</v>
      </c>
      <c r="I16" s="146">
        <f>DATE(2021,10,17+30)</f>
        <v>44516</v>
      </c>
      <c r="J16" s="147">
        <f>DATE(2021,11,16+7)</f>
        <v>44523</v>
      </c>
      <c r="K16" s="204"/>
    </row>
    <row r="17" spans="1:28" ht="26.1" customHeight="1" x14ac:dyDescent="0.2">
      <c r="A17" s="89" t="s">
        <v>280</v>
      </c>
      <c r="B17" s="68"/>
      <c r="C17" s="69" t="s">
        <v>811</v>
      </c>
      <c r="D17" s="145" t="s">
        <v>812</v>
      </c>
      <c r="E17" s="198" t="s">
        <v>813</v>
      </c>
      <c r="F17" s="184" t="s">
        <v>812</v>
      </c>
      <c r="G17" s="201" t="s">
        <v>813</v>
      </c>
      <c r="H17" s="145" t="s">
        <v>814</v>
      </c>
      <c r="I17" s="146">
        <f>DATE(2021,10,18+30)</f>
        <v>44517</v>
      </c>
      <c r="J17" s="147">
        <f>DATE(2021,11,17+7)</f>
        <v>44524</v>
      </c>
      <c r="K17" s="204"/>
    </row>
    <row r="18" spans="1:28" ht="26.1" customHeight="1" x14ac:dyDescent="0.2">
      <c r="A18" s="89" t="s">
        <v>782</v>
      </c>
      <c r="B18" s="68"/>
      <c r="C18" s="69" t="s">
        <v>815</v>
      </c>
      <c r="D18" s="145" t="s">
        <v>816</v>
      </c>
      <c r="E18" s="198" t="s">
        <v>817</v>
      </c>
      <c r="F18" s="184" t="s">
        <v>818</v>
      </c>
      <c r="G18" s="201" t="s">
        <v>817</v>
      </c>
      <c r="H18" s="145" t="s">
        <v>819</v>
      </c>
      <c r="I18" s="146">
        <f>DATE(2021,10,22+30)</f>
        <v>44521</v>
      </c>
      <c r="J18" s="147">
        <f>DATE(2021,11,21+7)</f>
        <v>44528</v>
      </c>
      <c r="K18" s="204"/>
    </row>
    <row r="19" spans="1:28" ht="26.1" customHeight="1" x14ac:dyDescent="0.2">
      <c r="A19" s="89" t="s">
        <v>279</v>
      </c>
      <c r="B19" s="68"/>
      <c r="C19" s="69" t="s">
        <v>820</v>
      </c>
      <c r="D19" s="145" t="s">
        <v>821</v>
      </c>
      <c r="E19" s="198" t="s">
        <v>805</v>
      </c>
      <c r="F19" s="184" t="s">
        <v>822</v>
      </c>
      <c r="G19" s="201" t="s">
        <v>823</v>
      </c>
      <c r="H19" s="145" t="s">
        <v>824</v>
      </c>
      <c r="I19" s="146">
        <f>DATE(2021,10,24+30)</f>
        <v>44523</v>
      </c>
      <c r="J19" s="147">
        <f>DATE(2021,11,23+7)</f>
        <v>44530</v>
      </c>
      <c r="K19" s="204"/>
    </row>
    <row r="20" spans="1:28" ht="26.1" customHeight="1" x14ac:dyDescent="0.2">
      <c r="A20" s="89" t="s">
        <v>280</v>
      </c>
      <c r="B20" s="68"/>
      <c r="C20" s="69" t="s">
        <v>825</v>
      </c>
      <c r="D20" s="145" t="s">
        <v>826</v>
      </c>
      <c r="E20" s="200" t="s">
        <v>827</v>
      </c>
      <c r="F20" s="181" t="s">
        <v>826</v>
      </c>
      <c r="G20" s="201" t="s">
        <v>827</v>
      </c>
      <c r="H20" s="145" t="s">
        <v>828</v>
      </c>
      <c r="I20" s="146">
        <f>DATE(2021,10,25+30)</f>
        <v>44524</v>
      </c>
      <c r="J20" s="147">
        <f>DATE(2021,11,24+7)</f>
        <v>44531</v>
      </c>
      <c r="K20" s="204"/>
    </row>
    <row r="21" spans="1:28" ht="26.1" customHeight="1" x14ac:dyDescent="0.2">
      <c r="A21" s="89" t="s">
        <v>782</v>
      </c>
      <c r="B21" s="68"/>
      <c r="C21" s="69" t="s">
        <v>829</v>
      </c>
      <c r="D21" s="145" t="s">
        <v>830</v>
      </c>
      <c r="E21" s="200" t="s">
        <v>831</v>
      </c>
      <c r="F21" s="181" t="s">
        <v>832</v>
      </c>
      <c r="G21" s="201" t="s">
        <v>831</v>
      </c>
      <c r="H21" s="145" t="s">
        <v>833</v>
      </c>
      <c r="I21" s="146">
        <f>DATE(2021,10,29+30)</f>
        <v>44528</v>
      </c>
      <c r="J21" s="147">
        <f>DATE(2021,11,28+7)</f>
        <v>44535</v>
      </c>
      <c r="K21" s="204"/>
    </row>
    <row r="22" spans="1:28" ht="26.1" customHeight="1" x14ac:dyDescent="0.2">
      <c r="A22" s="89" t="s">
        <v>279</v>
      </c>
      <c r="B22" s="68"/>
      <c r="C22" s="69" t="s">
        <v>834</v>
      </c>
      <c r="D22" s="145" t="s">
        <v>835</v>
      </c>
      <c r="E22" s="200" t="s">
        <v>819</v>
      </c>
      <c r="F22" s="181" t="s">
        <v>836</v>
      </c>
      <c r="G22" s="201" t="s">
        <v>837</v>
      </c>
      <c r="H22" s="145" t="s">
        <v>838</v>
      </c>
      <c r="I22" s="146">
        <f>DATE(2021,10,31+30)</f>
        <v>44530</v>
      </c>
      <c r="J22" s="147">
        <f>DATE(2021,11,30+7)</f>
        <v>44537</v>
      </c>
      <c r="K22" s="204"/>
    </row>
    <row r="23" spans="1:28" ht="25.5" customHeight="1" x14ac:dyDescent="0.2">
      <c r="A23" s="159" t="s">
        <v>280</v>
      </c>
      <c r="B23" s="160"/>
      <c r="C23" s="161" t="s">
        <v>839</v>
      </c>
      <c r="D23" s="145" t="s">
        <v>840</v>
      </c>
      <c r="E23" s="205" t="s">
        <v>841</v>
      </c>
      <c r="F23" s="183" t="s">
        <v>840</v>
      </c>
      <c r="G23" s="202" t="s">
        <v>841</v>
      </c>
      <c r="H23" s="167" t="s">
        <v>842</v>
      </c>
      <c r="I23" s="146">
        <f>DATE(2021,11,1+30)</f>
        <v>44531</v>
      </c>
      <c r="J23" s="147">
        <f>DATE(2021,12,1+7)</f>
        <v>44538</v>
      </c>
      <c r="K23" s="204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6"/>
      <c r="J24" s="147"/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87FE813B-3411-4D1C-BC9C-4C1B8FDD9944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8A04-2145-4355-9CDB-B6E3307EC6CA}">
  <dimension ref="A1:AB39"/>
  <sheetViews>
    <sheetView topLeftCell="A13" workbookViewId="0">
      <selection activeCell="J23" sqref="J23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44476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18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19" t="s">
        <v>6</v>
      </c>
      <c r="E10" s="219" t="s">
        <v>5</v>
      </c>
      <c r="F10" s="219" t="s">
        <v>6</v>
      </c>
      <c r="G10" s="219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782</v>
      </c>
      <c r="B11" s="68"/>
      <c r="C11" s="69" t="s">
        <v>843</v>
      </c>
      <c r="D11" s="188" t="s">
        <v>844</v>
      </c>
      <c r="E11" s="185" t="s">
        <v>845</v>
      </c>
      <c r="F11" s="181" t="s">
        <v>846</v>
      </c>
      <c r="G11" s="181" t="s">
        <v>845</v>
      </c>
      <c r="H11" s="145" t="s">
        <v>847</v>
      </c>
      <c r="I11" s="146">
        <f>DATE(2021,11,5+30)</f>
        <v>44535</v>
      </c>
      <c r="J11" s="147">
        <f>DATE(2021,12,5+7)</f>
        <v>44542</v>
      </c>
      <c r="K11" s="204"/>
    </row>
    <row r="12" spans="1:12" ht="26.1" customHeight="1" x14ac:dyDescent="0.2">
      <c r="A12" s="89" t="s">
        <v>279</v>
      </c>
      <c r="B12" s="68"/>
      <c r="C12" s="69" t="s">
        <v>848</v>
      </c>
      <c r="D12" s="199" t="s">
        <v>849</v>
      </c>
      <c r="E12" s="185" t="s">
        <v>833</v>
      </c>
      <c r="F12" s="181" t="s">
        <v>850</v>
      </c>
      <c r="G12" s="181" t="s">
        <v>851</v>
      </c>
      <c r="H12" s="145" t="s">
        <v>852</v>
      </c>
      <c r="I12" s="146">
        <f>DATE(2021,11,7+30)</f>
        <v>44537</v>
      </c>
      <c r="J12" s="147">
        <f>DATE(2021,12,7+7)</f>
        <v>44544</v>
      </c>
      <c r="K12" s="204"/>
    </row>
    <row r="13" spans="1:12" ht="26.1" customHeight="1" x14ac:dyDescent="0.2">
      <c r="A13" s="89" t="s">
        <v>280</v>
      </c>
      <c r="B13" s="68"/>
      <c r="C13" s="69" t="s">
        <v>853</v>
      </c>
      <c r="D13" s="145" t="s">
        <v>854</v>
      </c>
      <c r="E13" s="185" t="s">
        <v>855</v>
      </c>
      <c r="F13" s="181" t="s">
        <v>854</v>
      </c>
      <c r="G13" s="181" t="s">
        <v>856</v>
      </c>
      <c r="H13" s="145" t="s">
        <v>857</v>
      </c>
      <c r="I13" s="146">
        <f>DATE(2021,11,8+30)</f>
        <v>44538</v>
      </c>
      <c r="J13" s="147">
        <f>DATE(2021,12,8+7)</f>
        <v>44545</v>
      </c>
      <c r="K13" s="204"/>
    </row>
    <row r="14" spans="1:12" ht="26.1" customHeight="1" x14ac:dyDescent="0.2">
      <c r="A14" s="89" t="s">
        <v>782</v>
      </c>
      <c r="B14" s="68"/>
      <c r="C14" s="69" t="s">
        <v>858</v>
      </c>
      <c r="D14" s="145" t="s">
        <v>859</v>
      </c>
      <c r="E14" s="145" t="s">
        <v>860</v>
      </c>
      <c r="F14" s="184" t="s">
        <v>861</v>
      </c>
      <c r="G14" s="182" t="s">
        <v>860</v>
      </c>
      <c r="H14" s="145" t="s">
        <v>862</v>
      </c>
      <c r="I14" s="146">
        <f>DATE(2021,11,12+30)</f>
        <v>44542</v>
      </c>
      <c r="J14" s="147">
        <f>DATE(2021,12,12+7)</f>
        <v>44549</v>
      </c>
      <c r="K14" s="204"/>
    </row>
    <row r="15" spans="1:12" ht="26.1" customHeight="1" x14ac:dyDescent="0.2">
      <c r="A15" s="89" t="s">
        <v>279</v>
      </c>
      <c r="B15" s="68"/>
      <c r="C15" s="69" t="s">
        <v>863</v>
      </c>
      <c r="D15" s="145" t="s">
        <v>864</v>
      </c>
      <c r="E15" s="186" t="s">
        <v>847</v>
      </c>
      <c r="F15" s="184" t="s">
        <v>865</v>
      </c>
      <c r="G15" s="181" t="s">
        <v>866</v>
      </c>
      <c r="H15" s="145" t="s">
        <v>867</v>
      </c>
      <c r="I15" s="146">
        <f>DATE(2021,11,14+30)</f>
        <v>44544</v>
      </c>
      <c r="J15" s="147">
        <f>DATE(2021,12,14+7)</f>
        <v>44551</v>
      </c>
      <c r="K15" s="204"/>
    </row>
    <row r="16" spans="1:12" ht="26.1" customHeight="1" x14ac:dyDescent="0.2">
      <c r="A16" s="89" t="s">
        <v>280</v>
      </c>
      <c r="B16" s="68"/>
      <c r="C16" s="69" t="s">
        <v>868</v>
      </c>
      <c r="D16" s="145" t="s">
        <v>869</v>
      </c>
      <c r="E16" s="186" t="s">
        <v>870</v>
      </c>
      <c r="F16" s="184" t="s">
        <v>869</v>
      </c>
      <c r="G16" s="201" t="s">
        <v>870</v>
      </c>
      <c r="H16" s="145" t="s">
        <v>871</v>
      </c>
      <c r="I16" s="146">
        <f>DATE(2021,11,15+30)</f>
        <v>44545</v>
      </c>
      <c r="J16" s="147">
        <f>DATE(2021,12,15+7)</f>
        <v>44552</v>
      </c>
      <c r="K16" s="204"/>
    </row>
    <row r="17" spans="1:28" ht="26.1" customHeight="1" x14ac:dyDescent="0.2">
      <c r="A17" s="89" t="s">
        <v>782</v>
      </c>
      <c r="B17" s="68"/>
      <c r="C17" s="69" t="s">
        <v>872</v>
      </c>
      <c r="D17" s="145" t="s">
        <v>873</v>
      </c>
      <c r="E17" s="198" t="s">
        <v>874</v>
      </c>
      <c r="F17" s="184" t="s">
        <v>875</v>
      </c>
      <c r="G17" s="201" t="s">
        <v>874</v>
      </c>
      <c r="H17" s="145" t="s">
        <v>876</v>
      </c>
      <c r="I17" s="146">
        <f>DATE(2021,11,19+30)</f>
        <v>44549</v>
      </c>
      <c r="J17" s="147">
        <f>DATE(2021,12,19+7)</f>
        <v>44556</v>
      </c>
      <c r="K17" s="204"/>
    </row>
    <row r="18" spans="1:28" ht="26.1" customHeight="1" x14ac:dyDescent="0.2">
      <c r="A18" s="89" t="s">
        <v>279</v>
      </c>
      <c r="B18" s="68"/>
      <c r="C18" s="69" t="s">
        <v>877</v>
      </c>
      <c r="D18" s="145" t="s">
        <v>878</v>
      </c>
      <c r="E18" s="198" t="s">
        <v>862</v>
      </c>
      <c r="F18" s="184" t="s">
        <v>879</v>
      </c>
      <c r="G18" s="201" t="s">
        <v>880</v>
      </c>
      <c r="H18" s="145" t="s">
        <v>881</v>
      </c>
      <c r="I18" s="146">
        <f>DATE(2021,11,21+30)</f>
        <v>44551</v>
      </c>
      <c r="J18" s="147">
        <f>DATE(2021,12,21+7)</f>
        <v>44558</v>
      </c>
      <c r="K18" s="204"/>
    </row>
    <row r="19" spans="1:28" ht="26.1" customHeight="1" x14ac:dyDescent="0.2">
      <c r="A19" s="89" t="s">
        <v>280</v>
      </c>
      <c r="B19" s="68"/>
      <c r="C19" s="69" t="s">
        <v>882</v>
      </c>
      <c r="D19" s="145" t="s">
        <v>883</v>
      </c>
      <c r="E19" s="198" t="s">
        <v>884</v>
      </c>
      <c r="F19" s="184" t="s">
        <v>883</v>
      </c>
      <c r="G19" s="201" t="s">
        <v>884</v>
      </c>
      <c r="H19" s="145" t="s">
        <v>885</v>
      </c>
      <c r="I19" s="146">
        <f>DATE(2021,11,22+30)</f>
        <v>44552</v>
      </c>
      <c r="J19" s="147">
        <f>DATE(2021,12,22+7)</f>
        <v>44559</v>
      </c>
      <c r="K19" s="204"/>
    </row>
    <row r="20" spans="1:28" ht="26.1" customHeight="1" x14ac:dyDescent="0.2">
      <c r="A20" s="89" t="s">
        <v>782</v>
      </c>
      <c r="B20" s="68"/>
      <c r="C20" s="69" t="s">
        <v>886</v>
      </c>
      <c r="D20" s="145" t="s">
        <v>887</v>
      </c>
      <c r="E20" s="200" t="s">
        <v>888</v>
      </c>
      <c r="F20" s="181" t="s">
        <v>889</v>
      </c>
      <c r="G20" s="201" t="s">
        <v>888</v>
      </c>
      <c r="H20" s="145" t="s">
        <v>890</v>
      </c>
      <c r="I20" s="146">
        <f>DATE(2021,11,26+30)</f>
        <v>44556</v>
      </c>
      <c r="J20" s="147">
        <f>DATE(2021,12,26+7)</f>
        <v>44563</v>
      </c>
      <c r="K20" s="204"/>
    </row>
    <row r="21" spans="1:28" ht="26.1" customHeight="1" x14ac:dyDescent="0.2">
      <c r="A21" s="89" t="s">
        <v>279</v>
      </c>
      <c r="B21" s="68"/>
      <c r="C21" s="69" t="s">
        <v>891</v>
      </c>
      <c r="D21" s="145" t="s">
        <v>892</v>
      </c>
      <c r="E21" s="200" t="s">
        <v>876</v>
      </c>
      <c r="F21" s="181" t="s">
        <v>893</v>
      </c>
      <c r="G21" s="201" t="s">
        <v>894</v>
      </c>
      <c r="H21" s="145" t="s">
        <v>895</v>
      </c>
      <c r="I21" s="146">
        <f>DATE(2021,11,28+30)</f>
        <v>44558</v>
      </c>
      <c r="J21" s="147">
        <f>DATE(2021,12,28+7)</f>
        <v>44565</v>
      </c>
      <c r="K21" s="204"/>
    </row>
    <row r="22" spans="1:28" ht="26.1" customHeight="1" x14ac:dyDescent="0.2">
      <c r="A22" s="89" t="s">
        <v>280</v>
      </c>
      <c r="B22" s="68"/>
      <c r="C22" s="69" t="s">
        <v>896</v>
      </c>
      <c r="D22" s="145" t="s">
        <v>897</v>
      </c>
      <c r="E22" s="200" t="s">
        <v>898</v>
      </c>
      <c r="F22" s="181" t="s">
        <v>897</v>
      </c>
      <c r="G22" s="201" t="s">
        <v>898</v>
      </c>
      <c r="H22" s="145" t="s">
        <v>899</v>
      </c>
      <c r="I22" s="146">
        <f>DATE(2021,11,29+30)</f>
        <v>44559</v>
      </c>
      <c r="J22" s="147">
        <f>DATE(2021,12,29+7)</f>
        <v>44566</v>
      </c>
      <c r="K22" s="204"/>
    </row>
    <row r="23" spans="1:28" ht="25.5" customHeight="1" x14ac:dyDescent="0.2">
      <c r="A23" s="159"/>
      <c r="B23" s="160"/>
      <c r="C23" s="161"/>
      <c r="D23" s="145"/>
      <c r="E23" s="205"/>
      <c r="F23" s="183"/>
      <c r="G23" s="202"/>
      <c r="H23" s="167"/>
      <c r="I23" s="146"/>
      <c r="J23" s="147"/>
      <c r="K23" s="204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6"/>
      <c r="J24" s="147"/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06764B56-C7F5-4726-988B-5F2A03944F7F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C1932-653D-44EC-988B-49DBFDC97880}">
  <dimension ref="A1:AB39"/>
  <sheetViews>
    <sheetView topLeftCell="A7" workbookViewId="0">
      <selection activeCell="C20" sqref="C20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44504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20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21" t="s">
        <v>6</v>
      </c>
      <c r="E10" s="221" t="s">
        <v>5</v>
      </c>
      <c r="F10" s="221" t="s">
        <v>6</v>
      </c>
      <c r="G10" s="221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280</v>
      </c>
      <c r="B11" s="68"/>
      <c r="C11" s="69" t="s">
        <v>868</v>
      </c>
      <c r="D11" s="145" t="s">
        <v>869</v>
      </c>
      <c r="E11" s="186" t="s">
        <v>870</v>
      </c>
      <c r="F11" s="184" t="s">
        <v>869</v>
      </c>
      <c r="G11" s="201" t="s">
        <v>870</v>
      </c>
      <c r="H11" s="145" t="s">
        <v>871</v>
      </c>
      <c r="I11" s="146">
        <f>DATE(2021,11,15+30)</f>
        <v>44545</v>
      </c>
      <c r="J11" s="147">
        <f>DATE(2021,12,15+7)</f>
        <v>44552</v>
      </c>
      <c r="K11" s="204"/>
    </row>
    <row r="12" spans="1:12" ht="26.1" customHeight="1" x14ac:dyDescent="0.2">
      <c r="A12" s="89" t="s">
        <v>782</v>
      </c>
      <c r="B12" s="68"/>
      <c r="C12" s="69" t="s">
        <v>872</v>
      </c>
      <c r="D12" s="145" t="s">
        <v>873</v>
      </c>
      <c r="E12" s="198" t="s">
        <v>874</v>
      </c>
      <c r="F12" s="184" t="s">
        <v>875</v>
      </c>
      <c r="G12" s="201" t="s">
        <v>874</v>
      </c>
      <c r="H12" s="145" t="s">
        <v>876</v>
      </c>
      <c r="I12" s="146">
        <f>DATE(2021,11,19+30)</f>
        <v>44549</v>
      </c>
      <c r="J12" s="147">
        <f>DATE(2021,12,19+7)</f>
        <v>44556</v>
      </c>
      <c r="K12" s="204"/>
    </row>
    <row r="13" spans="1:12" ht="26.1" customHeight="1" x14ac:dyDescent="0.2">
      <c r="A13" s="89" t="s">
        <v>279</v>
      </c>
      <c r="B13" s="68"/>
      <c r="C13" s="69" t="s">
        <v>877</v>
      </c>
      <c r="D13" s="145" t="s">
        <v>878</v>
      </c>
      <c r="E13" s="198" t="s">
        <v>862</v>
      </c>
      <c r="F13" s="184" t="s">
        <v>879</v>
      </c>
      <c r="G13" s="201" t="s">
        <v>880</v>
      </c>
      <c r="H13" s="145" t="s">
        <v>881</v>
      </c>
      <c r="I13" s="146">
        <f>DATE(2021,11,21+30)</f>
        <v>44551</v>
      </c>
      <c r="J13" s="147">
        <f>DATE(2021,12,21+7)</f>
        <v>44558</v>
      </c>
      <c r="K13" s="204"/>
    </row>
    <row r="14" spans="1:12" ht="26.1" customHeight="1" x14ac:dyDescent="0.2">
      <c r="A14" s="89" t="s">
        <v>280</v>
      </c>
      <c r="B14" s="68"/>
      <c r="C14" s="69" t="s">
        <v>882</v>
      </c>
      <c r="D14" s="145" t="s">
        <v>883</v>
      </c>
      <c r="E14" s="198" t="s">
        <v>884</v>
      </c>
      <c r="F14" s="184" t="s">
        <v>883</v>
      </c>
      <c r="G14" s="201" t="s">
        <v>884</v>
      </c>
      <c r="H14" s="145" t="s">
        <v>885</v>
      </c>
      <c r="I14" s="146">
        <f>DATE(2021,11,22+30)</f>
        <v>44552</v>
      </c>
      <c r="J14" s="147">
        <f>DATE(2021,12,22+7)</f>
        <v>44559</v>
      </c>
      <c r="K14" s="204"/>
    </row>
    <row r="15" spans="1:12" ht="26.1" customHeight="1" x14ac:dyDescent="0.2">
      <c r="A15" s="89" t="s">
        <v>782</v>
      </c>
      <c r="B15" s="68"/>
      <c r="C15" s="69" t="s">
        <v>886</v>
      </c>
      <c r="D15" s="145" t="s">
        <v>887</v>
      </c>
      <c r="E15" s="200" t="s">
        <v>888</v>
      </c>
      <c r="F15" s="181" t="s">
        <v>889</v>
      </c>
      <c r="G15" s="201" t="s">
        <v>888</v>
      </c>
      <c r="H15" s="145" t="s">
        <v>890</v>
      </c>
      <c r="I15" s="146">
        <f>DATE(2021,11,26+30)</f>
        <v>44556</v>
      </c>
      <c r="J15" s="147">
        <f>DATE(2021,12,26+7)</f>
        <v>44563</v>
      </c>
      <c r="K15" s="204"/>
    </row>
    <row r="16" spans="1:12" ht="26.1" customHeight="1" x14ac:dyDescent="0.2">
      <c r="A16" s="89" t="s">
        <v>279</v>
      </c>
      <c r="B16" s="68"/>
      <c r="C16" s="69" t="s">
        <v>891</v>
      </c>
      <c r="D16" s="145" t="s">
        <v>892</v>
      </c>
      <c r="E16" s="200" t="s">
        <v>876</v>
      </c>
      <c r="F16" s="181" t="s">
        <v>893</v>
      </c>
      <c r="G16" s="201" t="s">
        <v>894</v>
      </c>
      <c r="H16" s="145" t="s">
        <v>895</v>
      </c>
      <c r="I16" s="146">
        <f>DATE(2021,11,28+30)</f>
        <v>44558</v>
      </c>
      <c r="J16" s="147">
        <f>DATE(2021,12,28+7)</f>
        <v>44565</v>
      </c>
      <c r="K16" s="204"/>
    </row>
    <row r="17" spans="1:28" ht="26.1" customHeight="1" x14ac:dyDescent="0.2">
      <c r="A17" s="89" t="s">
        <v>280</v>
      </c>
      <c r="B17" s="68"/>
      <c r="C17" s="69" t="s">
        <v>896</v>
      </c>
      <c r="D17" s="145" t="s">
        <v>897</v>
      </c>
      <c r="E17" s="200" t="s">
        <v>898</v>
      </c>
      <c r="F17" s="181" t="s">
        <v>897</v>
      </c>
      <c r="G17" s="201" t="s">
        <v>898</v>
      </c>
      <c r="H17" s="145" t="s">
        <v>899</v>
      </c>
      <c r="I17" s="146">
        <f>DATE(2021,11,29+30)</f>
        <v>44559</v>
      </c>
      <c r="J17" s="147">
        <f>DATE(2021,12,29+7)</f>
        <v>44566</v>
      </c>
      <c r="K17" s="204"/>
    </row>
    <row r="18" spans="1:28" ht="26.1" customHeight="1" x14ac:dyDescent="0.2">
      <c r="A18" s="170" t="s">
        <v>782</v>
      </c>
      <c r="B18" s="172"/>
      <c r="C18" s="173" t="s">
        <v>900</v>
      </c>
      <c r="D18" s="145" t="s">
        <v>901</v>
      </c>
      <c r="E18" s="232" t="s">
        <v>903</v>
      </c>
      <c r="F18" s="183" t="s">
        <v>904</v>
      </c>
      <c r="G18" s="202" t="s">
        <v>902</v>
      </c>
      <c r="H18" s="167" t="s">
        <v>905</v>
      </c>
      <c r="I18" s="146">
        <f>DATE(2021,12,3+30)</f>
        <v>44563</v>
      </c>
      <c r="J18" s="147">
        <f>DATE(2022,1,2+7)</f>
        <v>44570</v>
      </c>
      <c r="K18" s="204"/>
    </row>
    <row r="19" spans="1:28" ht="26.1" customHeight="1" x14ac:dyDescent="0.2">
      <c r="A19" s="89" t="s">
        <v>279</v>
      </c>
      <c r="B19" s="231"/>
      <c r="C19" s="76" t="s">
        <v>906</v>
      </c>
      <c r="D19" s="186" t="s">
        <v>907</v>
      </c>
      <c r="E19" s="200" t="s">
        <v>908</v>
      </c>
      <c r="F19" s="181" t="s">
        <v>909</v>
      </c>
      <c r="G19" s="229" t="s">
        <v>910</v>
      </c>
      <c r="H19" s="167" t="s">
        <v>911</v>
      </c>
      <c r="I19" s="146">
        <f>DATE(2021,12,5+30)</f>
        <v>44565</v>
      </c>
      <c r="J19" s="147">
        <f>DATE(2022,1,4+7)</f>
        <v>44572</v>
      </c>
      <c r="K19" s="204"/>
    </row>
    <row r="20" spans="1:28" ht="26.1" customHeight="1" x14ac:dyDescent="0.2">
      <c r="A20" s="170" t="s">
        <v>912</v>
      </c>
      <c r="B20" s="172"/>
      <c r="C20" s="173" t="s">
        <v>913</v>
      </c>
      <c r="D20" s="145" t="s">
        <v>914</v>
      </c>
      <c r="E20" s="232" t="s">
        <v>915</v>
      </c>
      <c r="F20" s="226" t="s">
        <v>916</v>
      </c>
      <c r="G20" s="230" t="s">
        <v>915</v>
      </c>
      <c r="H20" s="167" t="s">
        <v>917</v>
      </c>
      <c r="I20" s="146">
        <f>DATE(2021,12,6+30)</f>
        <v>44566</v>
      </c>
      <c r="J20" s="147">
        <f>DATE(2022,1,5+7)</f>
        <v>44573</v>
      </c>
      <c r="K20" s="204"/>
    </row>
    <row r="21" spans="1:28" ht="26.1" customHeight="1" x14ac:dyDescent="0.2">
      <c r="A21" s="170" t="s">
        <v>782</v>
      </c>
      <c r="B21" s="172"/>
      <c r="C21" s="173" t="s">
        <v>918</v>
      </c>
      <c r="D21" s="145" t="s">
        <v>919</v>
      </c>
      <c r="E21" s="232" t="s">
        <v>920</v>
      </c>
      <c r="F21" s="183" t="s">
        <v>921</v>
      </c>
      <c r="G21" s="228" t="s">
        <v>920</v>
      </c>
      <c r="H21" s="167" t="s">
        <v>922</v>
      </c>
      <c r="I21" s="146">
        <f>DATE(2021,12,10+30)</f>
        <v>44570</v>
      </c>
      <c r="J21" s="147">
        <f>DATE(2022,1,9+7)</f>
        <v>44577</v>
      </c>
      <c r="K21" s="204"/>
    </row>
    <row r="22" spans="1:28" ht="26.1" customHeight="1" x14ac:dyDescent="0.2">
      <c r="A22" s="89" t="s">
        <v>279</v>
      </c>
      <c r="B22" s="231"/>
      <c r="C22" s="76" t="s">
        <v>923</v>
      </c>
      <c r="D22" s="186" t="s">
        <v>924</v>
      </c>
      <c r="E22" s="200" t="s">
        <v>925</v>
      </c>
      <c r="F22" s="181" t="s">
        <v>926</v>
      </c>
      <c r="G22" s="229" t="s">
        <v>917</v>
      </c>
      <c r="H22" s="167" t="s">
        <v>927</v>
      </c>
      <c r="I22" s="146">
        <f>DATE(2021,12,12+30)</f>
        <v>44572</v>
      </c>
      <c r="J22" s="147">
        <f>DATE(2022,1,11+7)</f>
        <v>44579</v>
      </c>
      <c r="K22" s="204"/>
    </row>
    <row r="23" spans="1:28" ht="25.5" customHeight="1" x14ac:dyDescent="0.2">
      <c r="A23" s="159" t="s">
        <v>280</v>
      </c>
      <c r="B23" s="224"/>
      <c r="C23" s="225" t="s">
        <v>928</v>
      </c>
      <c r="D23" s="186" t="s">
        <v>929</v>
      </c>
      <c r="E23" s="205" t="s">
        <v>930</v>
      </c>
      <c r="F23" s="226" t="s">
        <v>929</v>
      </c>
      <c r="G23" s="227" t="s">
        <v>930</v>
      </c>
      <c r="H23" s="167" t="s">
        <v>931</v>
      </c>
      <c r="I23" s="146">
        <f>DATE(2021,12,13+30)</f>
        <v>44573</v>
      </c>
      <c r="J23" s="147">
        <f>DATE(2022,1,12+7)</f>
        <v>44580</v>
      </c>
      <c r="K23" s="204"/>
    </row>
    <row r="24" spans="1:28" ht="24.75" customHeight="1" x14ac:dyDescent="0.2">
      <c r="A24" s="170"/>
      <c r="B24" s="172"/>
      <c r="C24" s="173"/>
      <c r="D24" s="112"/>
      <c r="E24" s="112"/>
      <c r="F24" s="112"/>
      <c r="G24" s="181"/>
      <c r="H24" s="145"/>
      <c r="I24" s="146"/>
      <c r="J24" s="147"/>
      <c r="K24" s="204"/>
    </row>
    <row r="25" spans="1:28" ht="13.5" customHeight="1" x14ac:dyDescent="0.2">
      <c r="A25" s="67"/>
      <c r="B25" s="18"/>
      <c r="G25" s="90"/>
      <c r="H25" s="54"/>
      <c r="I25" s="54"/>
      <c r="J25" s="54"/>
      <c r="K25" s="204"/>
    </row>
    <row r="26" spans="1:28" ht="26.25" customHeight="1" x14ac:dyDescent="0.2">
      <c r="A26" s="15"/>
      <c r="B26" s="209" t="s">
        <v>77</v>
      </c>
      <c r="C26" s="91" t="s">
        <v>78</v>
      </c>
      <c r="E26" s="92"/>
      <c r="F26" s="208" t="s">
        <v>82</v>
      </c>
      <c r="G26" s="115" t="s">
        <v>87</v>
      </c>
      <c r="H26" s="108"/>
      <c r="I26" s="54"/>
      <c r="J26" s="108"/>
      <c r="K26" s="108"/>
    </row>
    <row r="27" spans="1:28" s="2" customFormat="1" ht="26.25" customHeight="1" x14ac:dyDescent="0.2">
      <c r="A27" s="93"/>
      <c r="B27" s="93"/>
      <c r="C27" s="91" t="s">
        <v>79</v>
      </c>
      <c r="D27" s="203"/>
      <c r="E27" s="92"/>
      <c r="F27" s="10"/>
      <c r="G27" s="10" t="s">
        <v>89</v>
      </c>
      <c r="H27" s="108"/>
      <c r="I27" s="10"/>
      <c r="J27" s="108"/>
      <c r="K27" s="108"/>
      <c r="L27" s="203"/>
    </row>
    <row r="28" spans="1:28" s="33" customFormat="1" ht="26.25" customHeight="1" x14ac:dyDescent="0.2">
      <c r="A28" s="94"/>
      <c r="B28" s="94"/>
      <c r="C28" s="15" t="s">
        <v>80</v>
      </c>
      <c r="D28" s="203"/>
      <c r="E28" s="92"/>
      <c r="F28" s="10"/>
      <c r="G28" s="116" t="s">
        <v>90</v>
      </c>
      <c r="H28" s="15"/>
      <c r="I28" s="109"/>
      <c r="J28" s="15"/>
      <c r="K28" s="15"/>
      <c r="L28" s="203"/>
      <c r="M28" s="203"/>
      <c r="N28" s="203"/>
      <c r="O28" s="203"/>
      <c r="P28" s="203"/>
      <c r="Q28" s="203"/>
      <c r="R28" s="15"/>
      <c r="S28" s="15"/>
      <c r="T28" s="15"/>
      <c r="U28" s="203"/>
      <c r="V28" s="203"/>
      <c r="W28" s="203"/>
      <c r="X28" s="203"/>
      <c r="Y28" s="203"/>
      <c r="Z28" s="203"/>
      <c r="AA28" s="90"/>
      <c r="AB28" s="90"/>
    </row>
    <row r="29" spans="1:28" s="33" customFormat="1" ht="26.25" customHeight="1" x14ac:dyDescent="0.2">
      <c r="A29" s="15"/>
      <c r="B29" s="15"/>
      <c r="C29" s="15" t="s">
        <v>81</v>
      </c>
      <c r="D29" s="96"/>
      <c r="E29" s="203"/>
      <c r="F29" s="10"/>
      <c r="G29" s="15" t="s">
        <v>91</v>
      </c>
      <c r="H29" s="15"/>
      <c r="I29" s="109"/>
      <c r="J29" s="15"/>
      <c r="K29" s="15"/>
      <c r="L29" s="5"/>
      <c r="M29" s="203"/>
      <c r="N29" s="91"/>
      <c r="O29" s="203"/>
      <c r="P29" s="203"/>
      <c r="Q29" s="203"/>
      <c r="R29" s="15"/>
      <c r="S29" s="15"/>
      <c r="T29" s="15"/>
      <c r="U29" s="91"/>
      <c r="V29" s="203"/>
      <c r="W29" s="203"/>
      <c r="X29" s="203"/>
      <c r="Y29" s="92"/>
      <c r="Z29" s="1"/>
      <c r="AA29" s="90"/>
      <c r="AB29" s="90"/>
    </row>
    <row r="30" spans="1:28" s="33" customFormat="1" ht="12.75" customHeight="1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19"/>
      <c r="M30" s="203"/>
      <c r="N30" s="10"/>
      <c r="O30" s="203"/>
      <c r="P30" s="203"/>
      <c r="Q30" s="203"/>
      <c r="R30" s="15"/>
      <c r="S30" s="93"/>
      <c r="T30" s="93"/>
      <c r="U30" s="91"/>
      <c r="V30" s="203"/>
      <c r="W30" s="203"/>
      <c r="X30" s="203"/>
      <c r="Y30" s="92"/>
      <c r="Z30" s="203"/>
      <c r="AA30" s="90"/>
      <c r="AB30" s="90"/>
    </row>
    <row r="31" spans="1:28" s="33" customFormat="1" ht="26.25" customHeight="1" x14ac:dyDescent="0.2">
      <c r="A31" s="42" t="s">
        <v>1</v>
      </c>
      <c r="B31" s="43"/>
      <c r="C31" s="44"/>
      <c r="D31" s="45"/>
      <c r="E31" s="51"/>
      <c r="F31" s="20"/>
      <c r="G31" s="20"/>
      <c r="H31" s="20"/>
      <c r="I31" s="14"/>
      <c r="J31" s="15"/>
      <c r="K31" s="203"/>
      <c r="L31" s="203"/>
      <c r="M31" s="203"/>
      <c r="N31" s="10"/>
      <c r="O31" s="203"/>
      <c r="P31" s="203"/>
      <c r="Q31" s="203"/>
      <c r="R31" s="203"/>
      <c r="S31" s="94"/>
      <c r="T31" s="94"/>
      <c r="U31" s="15"/>
      <c r="V31" s="203"/>
      <c r="W31" s="203"/>
      <c r="X31" s="203"/>
      <c r="Y31" s="92"/>
      <c r="Z31" s="4"/>
      <c r="AA31" s="32"/>
      <c r="AB31" s="32"/>
    </row>
    <row r="32" spans="1:28" s="59" customFormat="1" ht="26.25" customHeight="1" x14ac:dyDescent="0.2">
      <c r="A32" s="106" t="s">
        <v>18</v>
      </c>
      <c r="B32" s="2"/>
      <c r="C32" s="2"/>
      <c r="D32" s="46"/>
      <c r="E32" s="189"/>
      <c r="F32" s="2"/>
      <c r="G32" s="2"/>
      <c r="H32" s="2"/>
      <c r="I32" s="15"/>
      <c r="J32" s="15"/>
      <c r="K32" s="203"/>
      <c r="L32" s="203"/>
      <c r="M32" s="203"/>
      <c r="N32" s="203"/>
      <c r="O32" s="203"/>
      <c r="P32" s="203"/>
      <c r="Q32" s="203"/>
      <c r="R32" s="15"/>
      <c r="S32" s="15"/>
      <c r="T32" s="15"/>
      <c r="U32" s="15"/>
      <c r="V32" s="96"/>
      <c r="W32" s="96"/>
      <c r="X32" s="97"/>
      <c r="Y32" s="203"/>
      <c r="Z32" s="1"/>
      <c r="AA32" s="32"/>
      <c r="AB32" s="32"/>
    </row>
    <row r="33" spans="1:12" s="59" customFormat="1" ht="12.75" customHeight="1" x14ac:dyDescent="0.2">
      <c r="A33" s="49"/>
      <c r="B33" s="27"/>
      <c r="C33" s="28"/>
      <c r="D33" s="50" t="s">
        <v>33</v>
      </c>
      <c r="E33" s="190"/>
      <c r="F33" s="2"/>
      <c r="G33" s="2"/>
      <c r="H33" s="2"/>
      <c r="J33" s="15"/>
      <c r="K33" s="203"/>
      <c r="L33" s="203"/>
    </row>
    <row r="34" spans="1:12" s="59" customFormat="1" ht="13.5" customHeight="1" x14ac:dyDescent="0.2">
      <c r="A34" s="62" t="s">
        <v>33</v>
      </c>
      <c r="B34" s="63"/>
      <c r="C34" s="64"/>
      <c r="D34" s="65"/>
      <c r="E34" s="191"/>
      <c r="F34" s="2"/>
      <c r="G34" s="2"/>
      <c r="H34" s="2"/>
      <c r="I34" s="58"/>
      <c r="J34" s="203"/>
    </row>
    <row r="35" spans="1:12" s="59" customFormat="1" ht="11.25" customHeight="1" x14ac:dyDescent="0.2">
      <c r="A35" s="18"/>
      <c r="B35" s="56"/>
      <c r="C35" s="22"/>
      <c r="D35" s="60"/>
      <c r="E35" s="60"/>
      <c r="F35" s="40"/>
      <c r="G35" s="40"/>
      <c r="H35" s="40"/>
      <c r="I35" s="60"/>
    </row>
    <row r="36" spans="1:12" s="59" customFormat="1" ht="26.25" customHeight="1" x14ac:dyDescent="0.2">
      <c r="A36" s="18" t="s">
        <v>123</v>
      </c>
      <c r="B36" s="56"/>
      <c r="C36" s="22"/>
      <c r="D36" s="60"/>
      <c r="E36" s="60"/>
      <c r="I36" s="58"/>
    </row>
    <row r="37" spans="1:12" s="59" customFormat="1" ht="26.25" customHeight="1" x14ac:dyDescent="0.2">
      <c r="A37" s="58" t="s">
        <v>124</v>
      </c>
      <c r="B37" s="56"/>
      <c r="C37" s="22"/>
      <c r="D37" s="60"/>
      <c r="E37" s="60"/>
      <c r="I37" s="58"/>
    </row>
    <row r="38" spans="1:12" s="59" customFormat="1" ht="26.25" customHeight="1" x14ac:dyDescent="0.2">
      <c r="A38" s="18" t="s">
        <v>125</v>
      </c>
      <c r="B38" s="18"/>
      <c r="C38" s="9"/>
      <c r="D38" s="60"/>
      <c r="E38" s="60"/>
      <c r="I38" s="58"/>
    </row>
    <row r="39" spans="1:12" ht="24.75" customHeight="1" x14ac:dyDescent="0.2">
      <c r="A39" s="18" t="s">
        <v>126</v>
      </c>
      <c r="B39" s="18"/>
      <c r="C39" s="9"/>
      <c r="D39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FBEE5A4C-10CA-4920-AE54-4F7ACD6F7B7E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214D-C63E-47ED-A90D-28AC1503DA08}">
  <dimension ref="A1:AB40"/>
  <sheetViews>
    <sheetView topLeftCell="A13" workbookViewId="0">
      <selection activeCell="J25" sqref="J25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193">
        <v>44504</v>
      </c>
      <c r="K4" s="258">
        <v>43681</v>
      </c>
      <c r="L4" s="259"/>
    </row>
    <row r="5" spans="1:12" ht="24" customHeight="1" x14ac:dyDescent="0.2">
      <c r="A5" s="260" t="s">
        <v>27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 t="s">
        <v>55</v>
      </c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22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23" t="s">
        <v>6</v>
      </c>
      <c r="E10" s="223" t="s">
        <v>5</v>
      </c>
      <c r="F10" s="223" t="s">
        <v>6</v>
      </c>
      <c r="G10" s="223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279</v>
      </c>
      <c r="B11" s="231"/>
      <c r="C11" s="76" t="s">
        <v>906</v>
      </c>
      <c r="D11" s="186" t="s">
        <v>907</v>
      </c>
      <c r="E11" s="200" t="s">
        <v>908</v>
      </c>
      <c r="F11" s="181" t="s">
        <v>909</v>
      </c>
      <c r="G11" s="229" t="s">
        <v>910</v>
      </c>
      <c r="H11" s="167" t="s">
        <v>911</v>
      </c>
      <c r="I11" s="146">
        <f>DATE(2021,12,5+30)</f>
        <v>44565</v>
      </c>
      <c r="J11" s="147">
        <f>DATE(2022,1,4+7)</f>
        <v>44572</v>
      </c>
      <c r="K11" s="204"/>
    </row>
    <row r="12" spans="1:12" ht="26.1" customHeight="1" x14ac:dyDescent="0.2">
      <c r="A12" s="170" t="s">
        <v>912</v>
      </c>
      <c r="B12" s="172"/>
      <c r="C12" s="173" t="s">
        <v>913</v>
      </c>
      <c r="D12" s="145" t="s">
        <v>914</v>
      </c>
      <c r="E12" s="232" t="s">
        <v>915</v>
      </c>
      <c r="F12" s="226" t="s">
        <v>916</v>
      </c>
      <c r="G12" s="230" t="s">
        <v>915</v>
      </c>
      <c r="H12" s="167" t="s">
        <v>917</v>
      </c>
      <c r="I12" s="146">
        <f>DATE(2021,12,6+30)</f>
        <v>44566</v>
      </c>
      <c r="J12" s="147">
        <f>DATE(2022,1,5+7)</f>
        <v>44573</v>
      </c>
      <c r="K12" s="204"/>
    </row>
    <row r="13" spans="1:12" ht="26.1" customHeight="1" x14ac:dyDescent="0.2">
      <c r="A13" s="170" t="s">
        <v>782</v>
      </c>
      <c r="B13" s="172"/>
      <c r="C13" s="173" t="s">
        <v>918</v>
      </c>
      <c r="D13" s="145" t="s">
        <v>919</v>
      </c>
      <c r="E13" s="232" t="s">
        <v>920</v>
      </c>
      <c r="F13" s="183" t="s">
        <v>921</v>
      </c>
      <c r="G13" s="228" t="s">
        <v>920</v>
      </c>
      <c r="H13" s="167" t="s">
        <v>922</v>
      </c>
      <c r="I13" s="146">
        <f>DATE(2021,12,10+30)</f>
        <v>44570</v>
      </c>
      <c r="J13" s="147">
        <f>DATE(2022,1,9+7)</f>
        <v>44577</v>
      </c>
      <c r="K13" s="204"/>
    </row>
    <row r="14" spans="1:12" ht="26.1" customHeight="1" x14ac:dyDescent="0.2">
      <c r="A14" s="89" t="s">
        <v>279</v>
      </c>
      <c r="B14" s="231"/>
      <c r="C14" s="76" t="s">
        <v>923</v>
      </c>
      <c r="D14" s="186" t="s">
        <v>924</v>
      </c>
      <c r="E14" s="200" t="s">
        <v>925</v>
      </c>
      <c r="F14" s="181" t="s">
        <v>926</v>
      </c>
      <c r="G14" s="229" t="s">
        <v>917</v>
      </c>
      <c r="H14" s="167" t="s">
        <v>927</v>
      </c>
      <c r="I14" s="146">
        <f>DATE(2021,12,12+30)</f>
        <v>44572</v>
      </c>
      <c r="J14" s="147">
        <f>DATE(2022,1,11+7)</f>
        <v>44579</v>
      </c>
      <c r="K14" s="204"/>
    </row>
    <row r="15" spans="1:12" ht="25.5" customHeight="1" x14ac:dyDescent="0.2">
      <c r="A15" s="170" t="s">
        <v>280</v>
      </c>
      <c r="B15" s="172"/>
      <c r="C15" s="173" t="s">
        <v>928</v>
      </c>
      <c r="D15" s="145" t="s">
        <v>929</v>
      </c>
      <c r="E15" s="235" t="s">
        <v>930</v>
      </c>
      <c r="F15" s="181" t="s">
        <v>929</v>
      </c>
      <c r="G15" s="201" t="s">
        <v>930</v>
      </c>
      <c r="H15" s="145" t="s">
        <v>931</v>
      </c>
      <c r="I15" s="146">
        <f>DATE(2021,12,13+30)</f>
        <v>44573</v>
      </c>
      <c r="J15" s="147">
        <f>DATE(2022,1,12+7)</f>
        <v>44580</v>
      </c>
      <c r="K15" s="204"/>
    </row>
    <row r="16" spans="1:12" ht="25.5" customHeight="1" x14ac:dyDescent="0.2">
      <c r="A16" s="89" t="s">
        <v>782</v>
      </c>
      <c r="B16" s="231"/>
      <c r="C16" s="76" t="s">
        <v>933</v>
      </c>
      <c r="D16" s="145" t="s">
        <v>939</v>
      </c>
      <c r="E16" s="200" t="s">
        <v>940</v>
      </c>
      <c r="F16" s="182" t="s">
        <v>941</v>
      </c>
      <c r="G16" s="229" t="s">
        <v>940</v>
      </c>
      <c r="H16" s="236" t="s">
        <v>942</v>
      </c>
      <c r="I16" s="146">
        <f>DATE(2021,12,17+30)</f>
        <v>44577</v>
      </c>
      <c r="J16" s="147">
        <f>DATE(2022,1,16+7)</f>
        <v>44584</v>
      </c>
      <c r="K16" s="204"/>
    </row>
    <row r="17" spans="1:28" ht="25.5" customHeight="1" x14ac:dyDescent="0.2">
      <c r="A17" s="170" t="s">
        <v>279</v>
      </c>
      <c r="B17" s="172"/>
      <c r="C17" s="173" t="s">
        <v>934</v>
      </c>
      <c r="D17" s="145" t="s">
        <v>943</v>
      </c>
      <c r="E17" s="235" t="s">
        <v>944</v>
      </c>
      <c r="F17" s="181" t="s">
        <v>945</v>
      </c>
      <c r="G17" s="229" t="s">
        <v>931</v>
      </c>
      <c r="H17" s="237" t="s">
        <v>946</v>
      </c>
      <c r="I17" s="146">
        <f>DATE(2021,12,19+30)</f>
        <v>44579</v>
      </c>
      <c r="J17" s="147">
        <f>DATE(2022,1,18+7)</f>
        <v>44586</v>
      </c>
      <c r="K17" s="204"/>
    </row>
    <row r="18" spans="1:28" ht="25.5" customHeight="1" x14ac:dyDescent="0.2">
      <c r="A18" s="170" t="s">
        <v>280</v>
      </c>
      <c r="B18" s="172"/>
      <c r="C18" s="173" t="s">
        <v>935</v>
      </c>
      <c r="D18" s="145" t="s">
        <v>947</v>
      </c>
      <c r="E18" s="235" t="s">
        <v>948</v>
      </c>
      <c r="F18" s="181" t="s">
        <v>947</v>
      </c>
      <c r="G18" s="229" t="s">
        <v>948</v>
      </c>
      <c r="H18" s="237" t="s">
        <v>949</v>
      </c>
      <c r="I18" s="146">
        <f>DATE(2021,12,20+30)</f>
        <v>44580</v>
      </c>
      <c r="J18" s="147">
        <f>DATE(2022,1,19+7)</f>
        <v>44587</v>
      </c>
      <c r="K18" s="204"/>
    </row>
    <row r="19" spans="1:28" ht="25.5" customHeight="1" x14ac:dyDescent="0.2">
      <c r="A19" s="170" t="s">
        <v>782</v>
      </c>
      <c r="B19" s="172"/>
      <c r="C19" s="173" t="s">
        <v>936</v>
      </c>
      <c r="D19" s="145" t="s">
        <v>950</v>
      </c>
      <c r="E19" s="235" t="s">
        <v>951</v>
      </c>
      <c r="F19" s="181" t="s">
        <v>952</v>
      </c>
      <c r="G19" s="229" t="s">
        <v>951</v>
      </c>
      <c r="H19" s="237" t="s">
        <v>953</v>
      </c>
      <c r="I19" s="146">
        <f>DATE(2021,12,24+30)</f>
        <v>44584</v>
      </c>
      <c r="J19" s="147">
        <f>DATE(2022,1,23+7)</f>
        <v>44591</v>
      </c>
      <c r="K19" s="204"/>
    </row>
    <row r="20" spans="1:28" ht="25.5" customHeight="1" x14ac:dyDescent="0.2">
      <c r="A20" s="170" t="s">
        <v>279</v>
      </c>
      <c r="B20" s="172"/>
      <c r="C20" s="173" t="s">
        <v>937</v>
      </c>
      <c r="D20" s="145" t="s">
        <v>954</v>
      </c>
      <c r="E20" s="235" t="s">
        <v>942</v>
      </c>
      <c r="F20" s="181" t="s">
        <v>955</v>
      </c>
      <c r="G20" s="229" t="s">
        <v>956</v>
      </c>
      <c r="H20" s="237" t="s">
        <v>957</v>
      </c>
      <c r="I20" s="146">
        <f>DATE(2021,12,26+30)</f>
        <v>44586</v>
      </c>
      <c r="J20" s="147">
        <f>DATE(2022,1,25+7)</f>
        <v>44593</v>
      </c>
      <c r="K20" s="204"/>
    </row>
    <row r="21" spans="1:28" ht="25.5" customHeight="1" x14ac:dyDescent="0.2">
      <c r="A21" s="170" t="s">
        <v>280</v>
      </c>
      <c r="B21" s="172"/>
      <c r="C21" s="173" t="s">
        <v>938</v>
      </c>
      <c r="D21" s="145" t="s">
        <v>958</v>
      </c>
      <c r="E21" s="235" t="s">
        <v>959</v>
      </c>
      <c r="F21" s="181" t="s">
        <v>958</v>
      </c>
      <c r="G21" s="229" t="s">
        <v>959</v>
      </c>
      <c r="H21" s="237" t="s">
        <v>960</v>
      </c>
      <c r="I21" s="146">
        <f>DATE(2021,12,27+30)</f>
        <v>44587</v>
      </c>
      <c r="J21" s="147">
        <f>DATE(2022,1,26+7)</f>
        <v>44594</v>
      </c>
      <c r="K21" s="204"/>
    </row>
    <row r="22" spans="1:28" ht="25.5" customHeight="1" x14ac:dyDescent="0.2">
      <c r="A22" s="170" t="s">
        <v>932</v>
      </c>
      <c r="B22" s="172"/>
      <c r="C22" s="173"/>
      <c r="D22" s="145" t="s">
        <v>961</v>
      </c>
      <c r="E22" s="235" t="s">
        <v>962</v>
      </c>
      <c r="F22" s="181" t="s">
        <v>963</v>
      </c>
      <c r="G22" s="229" t="s">
        <v>962</v>
      </c>
      <c r="H22" s="237" t="s">
        <v>964</v>
      </c>
      <c r="I22" s="146">
        <f>DATE(2021,12,31+30)</f>
        <v>44591</v>
      </c>
      <c r="J22" s="147">
        <f>DATE(2022,1,30+7)</f>
        <v>44598</v>
      </c>
      <c r="K22" s="204"/>
    </row>
    <row r="23" spans="1:28" ht="25.5" customHeight="1" x14ac:dyDescent="0.2">
      <c r="A23" s="170" t="s">
        <v>932</v>
      </c>
      <c r="B23" s="172"/>
      <c r="C23" s="173"/>
      <c r="D23" s="145" t="s">
        <v>965</v>
      </c>
      <c r="E23" s="235" t="s">
        <v>953</v>
      </c>
      <c r="F23" s="181" t="s">
        <v>966</v>
      </c>
      <c r="G23" s="229" t="s">
        <v>967</v>
      </c>
      <c r="H23" s="237" t="s">
        <v>968</v>
      </c>
      <c r="I23" s="146">
        <f>DATE(2022,1,2+30)</f>
        <v>44593</v>
      </c>
      <c r="J23" s="147">
        <f>DATE(2022,2,1+7)</f>
        <v>44600</v>
      </c>
      <c r="K23" s="204"/>
    </row>
    <row r="24" spans="1:28" ht="25.5" customHeight="1" x14ac:dyDescent="0.2">
      <c r="A24" s="159" t="s">
        <v>932</v>
      </c>
      <c r="B24" s="224"/>
      <c r="C24" s="225"/>
      <c r="D24" s="186" t="s">
        <v>969</v>
      </c>
      <c r="E24" s="205" t="s">
        <v>970</v>
      </c>
      <c r="F24" s="226" t="s">
        <v>969</v>
      </c>
      <c r="G24" s="198" t="s">
        <v>970</v>
      </c>
      <c r="H24" s="237" t="s">
        <v>971</v>
      </c>
      <c r="I24" s="146">
        <f>DATE(2022,1,3+30)</f>
        <v>44594</v>
      </c>
      <c r="J24" s="147">
        <f>DATE(2022,2,2+7)</f>
        <v>44601</v>
      </c>
      <c r="K24" s="204"/>
    </row>
    <row r="25" spans="1:28" ht="24.75" customHeight="1" x14ac:dyDescent="0.2">
      <c r="A25" s="170"/>
      <c r="B25" s="172"/>
      <c r="C25" s="173"/>
      <c r="D25" s="112"/>
      <c r="E25" s="112"/>
      <c r="F25" s="112"/>
      <c r="G25" s="181"/>
      <c r="H25" s="145"/>
      <c r="I25" s="146"/>
      <c r="J25" s="147"/>
      <c r="K25" s="204"/>
    </row>
    <row r="26" spans="1:28" ht="13.5" customHeight="1" x14ac:dyDescent="0.2">
      <c r="A26" s="67"/>
      <c r="B26" s="18"/>
      <c r="G26" s="90"/>
      <c r="H26" s="54"/>
      <c r="I26" s="54"/>
      <c r="J26" s="54"/>
      <c r="K26" s="204"/>
    </row>
    <row r="27" spans="1:28" ht="26.25" customHeight="1" x14ac:dyDescent="0.2">
      <c r="A27" s="15"/>
      <c r="B27" s="209" t="s">
        <v>77</v>
      </c>
      <c r="C27" s="91" t="s">
        <v>78</v>
      </c>
      <c r="E27" s="92"/>
      <c r="F27" s="208" t="s">
        <v>82</v>
      </c>
      <c r="G27" s="115" t="s">
        <v>87</v>
      </c>
      <c r="H27" s="108"/>
      <c r="I27" s="54"/>
      <c r="J27" s="108"/>
      <c r="K27" s="108"/>
    </row>
    <row r="28" spans="1:28" s="2" customFormat="1" ht="26.25" customHeight="1" x14ac:dyDescent="0.2">
      <c r="A28" s="93"/>
      <c r="B28" s="93"/>
      <c r="C28" s="91" t="s">
        <v>79</v>
      </c>
      <c r="D28" s="203"/>
      <c r="E28" s="92"/>
      <c r="F28" s="10"/>
      <c r="G28" s="10" t="s">
        <v>89</v>
      </c>
      <c r="H28" s="108"/>
      <c r="I28" s="10"/>
      <c r="J28" s="108"/>
      <c r="K28" s="108"/>
      <c r="L28" s="203"/>
    </row>
    <row r="29" spans="1:28" s="33" customFormat="1" ht="26.25" customHeight="1" x14ac:dyDescent="0.2">
      <c r="A29" s="94"/>
      <c r="B29" s="94"/>
      <c r="C29" s="15" t="s">
        <v>80</v>
      </c>
      <c r="D29" s="203"/>
      <c r="E29" s="92"/>
      <c r="F29" s="10"/>
      <c r="G29" s="116" t="s">
        <v>90</v>
      </c>
      <c r="H29" s="15"/>
      <c r="I29" s="109"/>
      <c r="J29" s="15"/>
      <c r="K29" s="15"/>
      <c r="L29" s="203"/>
      <c r="M29" s="203"/>
      <c r="N29" s="203"/>
      <c r="O29" s="203"/>
      <c r="P29" s="203"/>
      <c r="Q29" s="203"/>
      <c r="R29" s="15"/>
      <c r="S29" s="15"/>
      <c r="T29" s="15"/>
      <c r="U29" s="203"/>
      <c r="V29" s="203"/>
      <c r="W29" s="203"/>
      <c r="X29" s="203"/>
      <c r="Y29" s="203"/>
      <c r="Z29" s="203"/>
      <c r="AA29" s="90"/>
      <c r="AB29" s="90"/>
    </row>
    <row r="30" spans="1:28" s="33" customFormat="1" ht="26.25" customHeight="1" x14ac:dyDescent="0.2">
      <c r="A30" s="15"/>
      <c r="B30" s="15"/>
      <c r="C30" s="15" t="s">
        <v>81</v>
      </c>
      <c r="D30" s="96"/>
      <c r="E30" s="203"/>
      <c r="F30" s="10"/>
      <c r="G30" s="15" t="s">
        <v>91</v>
      </c>
      <c r="H30" s="15"/>
      <c r="I30" s="109"/>
      <c r="J30" s="15"/>
      <c r="K30" s="15"/>
      <c r="L30" s="5"/>
      <c r="M30" s="203"/>
      <c r="N30" s="91"/>
      <c r="O30" s="203"/>
      <c r="P30" s="203"/>
      <c r="Q30" s="203"/>
      <c r="R30" s="15"/>
      <c r="S30" s="15"/>
      <c r="T30" s="15"/>
      <c r="U30" s="91"/>
      <c r="V30" s="203"/>
      <c r="W30" s="203"/>
      <c r="X30" s="203"/>
      <c r="Y30" s="92"/>
      <c r="Z30" s="1"/>
      <c r="AA30" s="90"/>
      <c r="AB30" s="90"/>
    </row>
    <row r="31" spans="1:28" s="33" customFormat="1" ht="12.7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19"/>
      <c r="M31" s="203"/>
      <c r="N31" s="10"/>
      <c r="O31" s="203"/>
      <c r="P31" s="203"/>
      <c r="Q31" s="203"/>
      <c r="R31" s="15"/>
      <c r="S31" s="93"/>
      <c r="T31" s="93"/>
      <c r="U31" s="91"/>
      <c r="V31" s="203"/>
      <c r="W31" s="203"/>
      <c r="X31" s="203"/>
      <c r="Y31" s="92"/>
      <c r="Z31" s="203"/>
      <c r="AA31" s="90"/>
      <c r="AB31" s="90"/>
    </row>
    <row r="32" spans="1:28" s="33" customFormat="1" ht="26.25" customHeight="1" x14ac:dyDescent="0.2">
      <c r="A32" s="42" t="s">
        <v>1</v>
      </c>
      <c r="B32" s="43"/>
      <c r="C32" s="44"/>
      <c r="D32" s="45"/>
      <c r="E32" s="51"/>
      <c r="F32" s="20"/>
      <c r="G32" s="20"/>
      <c r="H32" s="20"/>
      <c r="I32" s="14"/>
      <c r="J32" s="15"/>
      <c r="K32" s="203"/>
      <c r="L32" s="203"/>
      <c r="M32" s="203"/>
      <c r="N32" s="10"/>
      <c r="O32" s="203"/>
      <c r="P32" s="203"/>
      <c r="Q32" s="203"/>
      <c r="R32" s="203"/>
      <c r="S32" s="94"/>
      <c r="T32" s="94"/>
      <c r="U32" s="15"/>
      <c r="V32" s="203"/>
      <c r="W32" s="203"/>
      <c r="X32" s="203"/>
      <c r="Y32" s="92"/>
      <c r="Z32" s="4"/>
      <c r="AA32" s="32"/>
      <c r="AB32" s="32"/>
    </row>
    <row r="33" spans="1:28" s="59" customFormat="1" ht="26.25" customHeight="1" x14ac:dyDescent="0.2">
      <c r="A33" s="106" t="s">
        <v>18</v>
      </c>
      <c r="B33" s="2"/>
      <c r="C33" s="2"/>
      <c r="D33" s="46"/>
      <c r="E33" s="189"/>
      <c r="F33" s="2"/>
      <c r="G33" s="2"/>
      <c r="H33" s="2"/>
      <c r="I33" s="15"/>
      <c r="J33" s="15"/>
      <c r="K33" s="203"/>
      <c r="L33" s="203"/>
      <c r="M33" s="203"/>
      <c r="N33" s="203"/>
      <c r="O33" s="203"/>
      <c r="P33" s="203"/>
      <c r="Q33" s="203"/>
      <c r="R33" s="15"/>
      <c r="S33" s="15"/>
      <c r="T33" s="15"/>
      <c r="U33" s="15"/>
      <c r="V33" s="96"/>
      <c r="W33" s="96"/>
      <c r="X33" s="97"/>
      <c r="Y33" s="203"/>
      <c r="Z33" s="1"/>
      <c r="AA33" s="32"/>
      <c r="AB33" s="32"/>
    </row>
    <row r="34" spans="1:28" s="59" customFormat="1" ht="12.75" customHeight="1" x14ac:dyDescent="0.2">
      <c r="A34" s="49"/>
      <c r="B34" s="27"/>
      <c r="C34" s="28"/>
      <c r="D34" s="50" t="s">
        <v>33</v>
      </c>
      <c r="E34" s="190"/>
      <c r="F34" s="2"/>
      <c r="G34" s="2"/>
      <c r="H34" s="2"/>
      <c r="J34" s="15"/>
      <c r="K34" s="203"/>
      <c r="L34" s="203"/>
    </row>
    <row r="35" spans="1:28" s="59" customFormat="1" ht="13.5" customHeight="1" x14ac:dyDescent="0.2">
      <c r="A35" s="62" t="s">
        <v>33</v>
      </c>
      <c r="B35" s="63"/>
      <c r="C35" s="64"/>
      <c r="D35" s="65"/>
      <c r="E35" s="191"/>
      <c r="F35" s="2"/>
      <c r="G35" s="2"/>
      <c r="H35" s="2"/>
      <c r="I35" s="58"/>
      <c r="J35" s="203"/>
    </row>
    <row r="36" spans="1:28" s="59" customFormat="1" ht="11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</row>
    <row r="37" spans="1:28" s="59" customFormat="1" ht="26.25" customHeight="1" x14ac:dyDescent="0.2">
      <c r="A37" s="18" t="s">
        <v>123</v>
      </c>
      <c r="B37" s="56"/>
      <c r="C37" s="22"/>
      <c r="D37" s="60"/>
      <c r="E37" s="60"/>
      <c r="I37" s="58"/>
    </row>
    <row r="38" spans="1:28" s="59" customFormat="1" ht="26.25" customHeight="1" x14ac:dyDescent="0.2">
      <c r="A38" s="58" t="s">
        <v>124</v>
      </c>
      <c r="B38" s="56"/>
      <c r="C38" s="22"/>
      <c r="D38" s="60"/>
      <c r="E38" s="60"/>
      <c r="I38" s="58"/>
    </row>
    <row r="39" spans="1:28" s="59" customFormat="1" ht="26.25" customHeight="1" x14ac:dyDescent="0.2">
      <c r="A39" s="18" t="s">
        <v>125</v>
      </c>
      <c r="B39" s="18"/>
      <c r="C39" s="9"/>
      <c r="D39" s="60"/>
      <c r="E39" s="60"/>
      <c r="I39" s="58"/>
    </row>
    <row r="40" spans="1:28" ht="24.75" customHeight="1" x14ac:dyDescent="0.2">
      <c r="A40" s="18" t="s">
        <v>126</v>
      </c>
      <c r="B40" s="18"/>
      <c r="C40" s="9"/>
      <c r="D40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D8AC078E-7458-4611-886A-9BC4D2F459A7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05407-61D8-4F8B-B15B-BF63023E8CF7}">
  <dimension ref="A1:AB40"/>
  <sheetViews>
    <sheetView topLeftCell="E7" workbookViewId="0">
      <selection activeCell="I42" sqref="I42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249">
        <v>44537</v>
      </c>
      <c r="K4" s="258">
        <v>43681</v>
      </c>
      <c r="L4" s="259"/>
    </row>
    <row r="5" spans="1:12" ht="24" customHeight="1" x14ac:dyDescent="0.2">
      <c r="A5" s="260" t="s">
        <v>1035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/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33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34" t="s">
        <v>6</v>
      </c>
      <c r="E10" s="234" t="s">
        <v>5</v>
      </c>
      <c r="F10" s="234" t="s">
        <v>6</v>
      </c>
      <c r="G10" s="234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782</v>
      </c>
      <c r="B11" s="231"/>
      <c r="C11" s="76" t="s">
        <v>974</v>
      </c>
      <c r="D11" s="186" t="s">
        <v>985</v>
      </c>
      <c r="E11" s="200" t="s">
        <v>962</v>
      </c>
      <c r="F11" s="181" t="s">
        <v>963</v>
      </c>
      <c r="G11" s="229" t="s">
        <v>962</v>
      </c>
      <c r="H11" s="167" t="s">
        <v>1001</v>
      </c>
      <c r="I11" s="146">
        <f>DATE(2021,12,31+30)</f>
        <v>44591</v>
      </c>
      <c r="J11" s="147">
        <f>DATE(2022,1,30+7)</f>
        <v>44598</v>
      </c>
      <c r="K11" s="204"/>
    </row>
    <row r="12" spans="1:12" ht="26.1" customHeight="1" x14ac:dyDescent="0.2">
      <c r="A12" s="170" t="s">
        <v>279</v>
      </c>
      <c r="B12" s="172"/>
      <c r="C12" s="173" t="s">
        <v>975</v>
      </c>
      <c r="D12" s="145" t="s">
        <v>965</v>
      </c>
      <c r="E12" s="232" t="s">
        <v>999</v>
      </c>
      <c r="F12" s="226" t="s">
        <v>966</v>
      </c>
      <c r="G12" s="230" t="s">
        <v>967</v>
      </c>
      <c r="H12" s="167" t="s">
        <v>1026</v>
      </c>
      <c r="I12" s="146">
        <f>DATE(2022,1,2+30)</f>
        <v>44593</v>
      </c>
      <c r="J12" s="147">
        <f>DATE(2022,2,1+7)</f>
        <v>44600</v>
      </c>
      <c r="K12" s="204"/>
    </row>
    <row r="13" spans="1:12" ht="26.1" customHeight="1" x14ac:dyDescent="0.2">
      <c r="A13" s="170" t="s">
        <v>972</v>
      </c>
      <c r="B13" s="172"/>
      <c r="C13" s="173"/>
      <c r="D13" s="214" t="s">
        <v>986</v>
      </c>
      <c r="E13" s="238" t="s">
        <v>970</v>
      </c>
      <c r="F13" s="241" t="s">
        <v>1013</v>
      </c>
      <c r="G13" s="243" t="s">
        <v>970</v>
      </c>
      <c r="H13" s="244" t="s">
        <v>1023</v>
      </c>
      <c r="I13" s="146"/>
      <c r="J13" s="147"/>
      <c r="K13" s="204"/>
    </row>
    <row r="14" spans="1:12" ht="26.1" customHeight="1" x14ac:dyDescent="0.2">
      <c r="A14" s="89" t="s">
        <v>972</v>
      </c>
      <c r="B14" s="231"/>
      <c r="C14" s="76"/>
      <c r="D14" s="215" t="s">
        <v>987</v>
      </c>
      <c r="E14" s="239" t="s">
        <v>1000</v>
      </c>
      <c r="F14" s="242" t="s">
        <v>1014</v>
      </c>
      <c r="G14" s="245" t="s">
        <v>1000</v>
      </c>
      <c r="H14" s="244" t="s">
        <v>1005</v>
      </c>
      <c r="I14" s="146"/>
      <c r="J14" s="147"/>
      <c r="K14" s="204"/>
    </row>
    <row r="15" spans="1:12" ht="25.5" customHeight="1" x14ac:dyDescent="0.2">
      <c r="A15" s="170" t="s">
        <v>972</v>
      </c>
      <c r="B15" s="172"/>
      <c r="C15" s="173"/>
      <c r="D15" s="214" t="s">
        <v>988</v>
      </c>
      <c r="E15" s="240" t="s">
        <v>1002</v>
      </c>
      <c r="F15" s="242" t="s">
        <v>1015</v>
      </c>
      <c r="G15" s="246" t="s">
        <v>1023</v>
      </c>
      <c r="H15" s="214" t="s">
        <v>1027</v>
      </c>
      <c r="I15" s="146"/>
      <c r="J15" s="147"/>
      <c r="K15" s="204"/>
    </row>
    <row r="16" spans="1:12" ht="25.5" customHeight="1" x14ac:dyDescent="0.2">
      <c r="A16" s="89" t="s">
        <v>280</v>
      </c>
      <c r="B16" s="231"/>
      <c r="C16" s="76" t="s">
        <v>976</v>
      </c>
      <c r="D16" s="145" t="s">
        <v>989</v>
      </c>
      <c r="E16" s="200" t="s">
        <v>1003</v>
      </c>
      <c r="F16" s="182" t="s">
        <v>989</v>
      </c>
      <c r="G16" s="229" t="s">
        <v>1003</v>
      </c>
      <c r="H16" s="236" t="s">
        <v>1028</v>
      </c>
      <c r="I16" s="146">
        <f>DATE(2022,1,10+30)</f>
        <v>44601</v>
      </c>
      <c r="J16" s="147">
        <f>DATE(2022,2,9+7)</f>
        <v>44608</v>
      </c>
      <c r="K16" s="204"/>
    </row>
    <row r="17" spans="1:28" ht="25.5" customHeight="1" x14ac:dyDescent="0.2">
      <c r="A17" s="170" t="s">
        <v>782</v>
      </c>
      <c r="B17" s="172"/>
      <c r="C17" s="173" t="s">
        <v>977</v>
      </c>
      <c r="D17" s="145" t="s">
        <v>990</v>
      </c>
      <c r="E17" s="235" t="s">
        <v>1004</v>
      </c>
      <c r="F17" s="181" t="s">
        <v>1016</v>
      </c>
      <c r="G17" s="229" t="s">
        <v>1004</v>
      </c>
      <c r="H17" s="237" t="s">
        <v>1008</v>
      </c>
      <c r="I17" s="146">
        <f>DATE(2022,1,14+30)</f>
        <v>44605</v>
      </c>
      <c r="J17" s="147">
        <f>DATE(2022,2,13+7)</f>
        <v>44612</v>
      </c>
      <c r="K17" s="204"/>
    </row>
    <row r="18" spans="1:28" ht="25.5" customHeight="1" x14ac:dyDescent="0.2">
      <c r="A18" s="170" t="s">
        <v>279</v>
      </c>
      <c r="B18" s="172"/>
      <c r="C18" s="173" t="s">
        <v>978</v>
      </c>
      <c r="D18" s="145" t="s">
        <v>991</v>
      </c>
      <c r="E18" s="235" t="s">
        <v>1005</v>
      </c>
      <c r="F18" s="181" t="s">
        <v>1017</v>
      </c>
      <c r="G18" s="229" t="s">
        <v>1005</v>
      </c>
      <c r="H18" s="237" t="s">
        <v>1029</v>
      </c>
      <c r="I18" s="146">
        <f>DATE(2022,1,16+30)</f>
        <v>44607</v>
      </c>
      <c r="J18" s="147">
        <f>DATE(2022,2,15+7)</f>
        <v>44614</v>
      </c>
      <c r="K18" s="204"/>
    </row>
    <row r="19" spans="1:28" ht="25.5" customHeight="1" x14ac:dyDescent="0.2">
      <c r="A19" s="170" t="s">
        <v>280</v>
      </c>
      <c r="B19" s="172"/>
      <c r="C19" s="173" t="s">
        <v>979</v>
      </c>
      <c r="D19" s="145" t="s">
        <v>992</v>
      </c>
      <c r="E19" s="235" t="s">
        <v>1006</v>
      </c>
      <c r="F19" s="181" t="s">
        <v>1018</v>
      </c>
      <c r="G19" s="229" t="s">
        <v>1006</v>
      </c>
      <c r="H19" s="237" t="s">
        <v>1024</v>
      </c>
      <c r="I19" s="146">
        <f>DATE(2022,1,17+30)</f>
        <v>44608</v>
      </c>
      <c r="J19" s="147">
        <f>DATE(2022,2,16+7)</f>
        <v>44615</v>
      </c>
      <c r="K19" s="204"/>
    </row>
    <row r="20" spans="1:28" ht="25.5" customHeight="1" x14ac:dyDescent="0.2">
      <c r="A20" s="170" t="s">
        <v>782</v>
      </c>
      <c r="B20" s="172"/>
      <c r="C20" s="173" t="s">
        <v>980</v>
      </c>
      <c r="D20" s="145" t="s">
        <v>993</v>
      </c>
      <c r="E20" s="235" t="s">
        <v>1007</v>
      </c>
      <c r="F20" s="181" t="s">
        <v>1019</v>
      </c>
      <c r="G20" s="229" t="s">
        <v>1007</v>
      </c>
      <c r="H20" s="237" t="s">
        <v>1011</v>
      </c>
      <c r="I20" s="146">
        <f>DATE(2022,1,21+30)</f>
        <v>44612</v>
      </c>
      <c r="J20" s="147">
        <f>DATE(2022,2,20+7)</f>
        <v>44619</v>
      </c>
      <c r="K20" s="204"/>
    </row>
    <row r="21" spans="1:28" ht="25.5" customHeight="1" x14ac:dyDescent="0.2">
      <c r="A21" s="170" t="s">
        <v>279</v>
      </c>
      <c r="B21" s="172"/>
      <c r="C21" s="173" t="s">
        <v>981</v>
      </c>
      <c r="D21" s="145" t="s">
        <v>994</v>
      </c>
      <c r="E21" s="235" t="s">
        <v>1008</v>
      </c>
      <c r="F21" s="181" t="s">
        <v>1020</v>
      </c>
      <c r="G21" s="229" t="s">
        <v>1024</v>
      </c>
      <c r="H21" s="237" t="s">
        <v>1030</v>
      </c>
      <c r="I21" s="146">
        <f>DATE(2022,1,23+30)</f>
        <v>44614</v>
      </c>
      <c r="J21" s="147">
        <f>DATE(2022,2,22+7)</f>
        <v>44621</v>
      </c>
      <c r="K21" s="204"/>
    </row>
    <row r="22" spans="1:28" ht="25.5" customHeight="1" x14ac:dyDescent="0.2">
      <c r="A22" s="170" t="s">
        <v>912</v>
      </c>
      <c r="B22" s="172"/>
      <c r="C22" s="173" t="s">
        <v>938</v>
      </c>
      <c r="D22" s="145" t="s">
        <v>995</v>
      </c>
      <c r="E22" s="235" t="s">
        <v>1009</v>
      </c>
      <c r="F22" s="181" t="s">
        <v>995</v>
      </c>
      <c r="G22" s="229" t="s">
        <v>1009</v>
      </c>
      <c r="H22" s="237" t="s">
        <v>1034</v>
      </c>
      <c r="I22" s="146">
        <f>DATE(2022,1,24+30)</f>
        <v>44615</v>
      </c>
      <c r="J22" s="147">
        <f>DATE(2022,2,23+7)</f>
        <v>44622</v>
      </c>
      <c r="K22" s="204"/>
    </row>
    <row r="23" spans="1:28" ht="25.5" customHeight="1" x14ac:dyDescent="0.2">
      <c r="A23" s="170" t="s">
        <v>973</v>
      </c>
      <c r="B23" s="172"/>
      <c r="C23" s="173" t="s">
        <v>982</v>
      </c>
      <c r="D23" s="145" t="s">
        <v>996</v>
      </c>
      <c r="E23" s="235" t="s">
        <v>1010</v>
      </c>
      <c r="F23" s="181" t="s">
        <v>1021</v>
      </c>
      <c r="G23" s="229" t="s">
        <v>1010</v>
      </c>
      <c r="H23" s="237" t="s">
        <v>1031</v>
      </c>
      <c r="I23" s="146">
        <f>DATE(2022,1,28+30)</f>
        <v>44619</v>
      </c>
      <c r="J23" s="147">
        <f>DATE(2022,2,27+7)</f>
        <v>44626</v>
      </c>
      <c r="K23" s="204"/>
    </row>
    <row r="24" spans="1:28" ht="25.5" customHeight="1" x14ac:dyDescent="0.2">
      <c r="A24" s="159" t="s">
        <v>321</v>
      </c>
      <c r="B24" s="224"/>
      <c r="C24" s="225" t="s">
        <v>983</v>
      </c>
      <c r="D24" s="186" t="s">
        <v>997</v>
      </c>
      <c r="E24" s="205" t="s">
        <v>1011</v>
      </c>
      <c r="F24" s="226" t="s">
        <v>1022</v>
      </c>
      <c r="G24" s="198" t="s">
        <v>1025</v>
      </c>
      <c r="H24" s="237" t="s">
        <v>1032</v>
      </c>
      <c r="I24" s="146">
        <f>DATE(2022,1,30+30)</f>
        <v>44621</v>
      </c>
      <c r="J24" s="147">
        <f>DATE(2022,3,1+7)</f>
        <v>44628</v>
      </c>
      <c r="K24" s="204"/>
    </row>
    <row r="25" spans="1:28" ht="24.75" customHeight="1" x14ac:dyDescent="0.2">
      <c r="A25" s="170" t="s">
        <v>280</v>
      </c>
      <c r="B25" s="172"/>
      <c r="C25" s="173" t="s">
        <v>984</v>
      </c>
      <c r="D25" s="181" t="s">
        <v>998</v>
      </c>
      <c r="E25" s="181" t="s">
        <v>1012</v>
      </c>
      <c r="F25" s="181" t="s">
        <v>998</v>
      </c>
      <c r="G25" s="181" t="s">
        <v>1012</v>
      </c>
      <c r="H25" s="145" t="s">
        <v>1033</v>
      </c>
      <c r="I25" s="146">
        <f>DATE(2022,1,31+30)</f>
        <v>44622</v>
      </c>
      <c r="J25" s="147">
        <f>DATE(2022,3,2+7)</f>
        <v>44629</v>
      </c>
      <c r="K25" s="204"/>
    </row>
    <row r="26" spans="1:28" ht="13.5" customHeight="1" x14ac:dyDescent="0.2">
      <c r="A26" s="67"/>
      <c r="B26" s="18"/>
      <c r="G26" s="90"/>
      <c r="H26" s="54"/>
      <c r="I26" s="54"/>
      <c r="J26" s="54"/>
      <c r="K26" s="204"/>
    </row>
    <row r="27" spans="1:28" ht="26.25" customHeight="1" x14ac:dyDescent="0.2">
      <c r="A27" s="15"/>
      <c r="B27" s="209" t="s">
        <v>77</v>
      </c>
      <c r="C27" s="91" t="s">
        <v>78</v>
      </c>
      <c r="E27" s="92"/>
      <c r="F27" s="208" t="s">
        <v>82</v>
      </c>
      <c r="G27" s="115" t="s">
        <v>87</v>
      </c>
      <c r="H27" s="108"/>
      <c r="I27" s="54"/>
      <c r="J27" s="108"/>
      <c r="K27" s="108"/>
    </row>
    <row r="28" spans="1:28" s="2" customFormat="1" ht="26.25" customHeight="1" x14ac:dyDescent="0.2">
      <c r="A28" s="93"/>
      <c r="B28" s="93"/>
      <c r="C28" s="91" t="s">
        <v>79</v>
      </c>
      <c r="D28" s="203"/>
      <c r="E28" s="92"/>
      <c r="F28" s="10"/>
      <c r="G28" s="10" t="s">
        <v>89</v>
      </c>
      <c r="H28" s="108"/>
      <c r="I28" s="10"/>
      <c r="J28" s="108"/>
      <c r="K28" s="108"/>
      <c r="L28" s="203"/>
    </row>
    <row r="29" spans="1:28" s="33" customFormat="1" ht="26.25" customHeight="1" x14ac:dyDescent="0.2">
      <c r="A29" s="94"/>
      <c r="B29" s="94"/>
      <c r="C29" s="15" t="s">
        <v>80</v>
      </c>
      <c r="D29" s="203"/>
      <c r="E29" s="92"/>
      <c r="F29" s="10"/>
      <c r="G29" s="116" t="s">
        <v>90</v>
      </c>
      <c r="H29" s="15"/>
      <c r="I29" s="109"/>
      <c r="J29" s="15"/>
      <c r="K29" s="15"/>
      <c r="L29" s="203"/>
      <c r="M29" s="203"/>
      <c r="N29" s="203"/>
      <c r="O29" s="203"/>
      <c r="P29" s="203"/>
      <c r="Q29" s="203"/>
      <c r="R29" s="15"/>
      <c r="S29" s="15"/>
      <c r="T29" s="15"/>
      <c r="U29" s="203"/>
      <c r="V29" s="203"/>
      <c r="W29" s="203"/>
      <c r="X29" s="203"/>
      <c r="Y29" s="203"/>
      <c r="Z29" s="203"/>
      <c r="AA29" s="90"/>
      <c r="AB29" s="90"/>
    </row>
    <row r="30" spans="1:28" s="33" customFormat="1" ht="26.25" customHeight="1" x14ac:dyDescent="0.2">
      <c r="A30" s="15"/>
      <c r="B30" s="15"/>
      <c r="C30" s="15" t="s">
        <v>81</v>
      </c>
      <c r="D30" s="96"/>
      <c r="E30" s="203"/>
      <c r="F30" s="10"/>
      <c r="G30" s="15" t="s">
        <v>91</v>
      </c>
      <c r="H30" s="15"/>
      <c r="I30" s="109"/>
      <c r="J30" s="15"/>
      <c r="K30" s="15"/>
      <c r="L30" s="5"/>
      <c r="M30" s="203"/>
      <c r="N30" s="91"/>
      <c r="O30" s="203"/>
      <c r="P30" s="203"/>
      <c r="Q30" s="203"/>
      <c r="R30" s="15"/>
      <c r="S30" s="15"/>
      <c r="T30" s="15"/>
      <c r="U30" s="91"/>
      <c r="V30" s="203"/>
      <c r="W30" s="203"/>
      <c r="X30" s="203"/>
      <c r="Y30" s="92"/>
      <c r="Z30" s="1"/>
      <c r="AA30" s="90"/>
      <c r="AB30" s="90"/>
    </row>
    <row r="31" spans="1:28" s="33" customFormat="1" ht="12.7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19"/>
      <c r="M31" s="203"/>
      <c r="N31" s="10"/>
      <c r="O31" s="203"/>
      <c r="P31" s="203"/>
      <c r="Q31" s="203"/>
      <c r="R31" s="15"/>
      <c r="S31" s="93"/>
      <c r="T31" s="93"/>
      <c r="U31" s="91"/>
      <c r="V31" s="203"/>
      <c r="W31" s="203"/>
      <c r="X31" s="203"/>
      <c r="Y31" s="92"/>
      <c r="Z31" s="203"/>
      <c r="AA31" s="90"/>
      <c r="AB31" s="90"/>
    </row>
    <row r="32" spans="1:28" s="33" customFormat="1" ht="26.25" customHeight="1" x14ac:dyDescent="0.2">
      <c r="A32" s="42" t="s">
        <v>1</v>
      </c>
      <c r="B32" s="43"/>
      <c r="C32" s="44"/>
      <c r="D32" s="45"/>
      <c r="E32" s="51"/>
      <c r="F32" s="20"/>
      <c r="G32" s="20"/>
      <c r="H32" s="20"/>
      <c r="I32" s="14"/>
      <c r="J32" s="15"/>
      <c r="K32" s="203"/>
      <c r="L32" s="203"/>
      <c r="M32" s="203"/>
      <c r="N32" s="10"/>
      <c r="O32" s="203"/>
      <c r="P32" s="203"/>
      <c r="Q32" s="203"/>
      <c r="R32" s="203"/>
      <c r="S32" s="94"/>
      <c r="T32" s="94"/>
      <c r="U32" s="15"/>
      <c r="V32" s="203"/>
      <c r="W32" s="203"/>
      <c r="X32" s="203"/>
      <c r="Y32" s="92"/>
      <c r="Z32" s="4"/>
      <c r="AA32" s="32"/>
      <c r="AB32" s="32"/>
    </row>
    <row r="33" spans="1:28" s="59" customFormat="1" ht="26.25" customHeight="1" x14ac:dyDescent="0.2">
      <c r="A33" s="106" t="s">
        <v>18</v>
      </c>
      <c r="B33" s="2"/>
      <c r="C33" s="2"/>
      <c r="D33" s="46"/>
      <c r="E33" s="189"/>
      <c r="F33" s="2"/>
      <c r="G33" s="2"/>
      <c r="H33" s="2"/>
      <c r="I33" s="15"/>
      <c r="J33" s="15"/>
      <c r="K33" s="203"/>
      <c r="L33" s="203"/>
      <c r="M33" s="203"/>
      <c r="N33" s="203"/>
      <c r="O33" s="203"/>
      <c r="P33" s="203"/>
      <c r="Q33" s="203"/>
      <c r="R33" s="15"/>
      <c r="S33" s="15"/>
      <c r="T33" s="15"/>
      <c r="U33" s="15"/>
      <c r="V33" s="96"/>
      <c r="W33" s="96"/>
      <c r="X33" s="97"/>
      <c r="Y33" s="203"/>
      <c r="Z33" s="1"/>
      <c r="AA33" s="32"/>
      <c r="AB33" s="32"/>
    </row>
    <row r="34" spans="1:28" s="59" customFormat="1" ht="12.75" customHeight="1" x14ac:dyDescent="0.2">
      <c r="A34" s="49"/>
      <c r="B34" s="27"/>
      <c r="C34" s="28"/>
      <c r="D34" s="50" t="s">
        <v>33</v>
      </c>
      <c r="E34" s="190"/>
      <c r="F34" s="2"/>
      <c r="G34" s="2"/>
      <c r="H34" s="2"/>
      <c r="J34" s="15"/>
      <c r="K34" s="203"/>
      <c r="L34" s="203"/>
    </row>
    <row r="35" spans="1:28" s="59" customFormat="1" ht="13.5" customHeight="1" x14ac:dyDescent="0.2">
      <c r="A35" s="62" t="s">
        <v>33</v>
      </c>
      <c r="B35" s="63"/>
      <c r="C35" s="64"/>
      <c r="D35" s="65"/>
      <c r="E35" s="191"/>
      <c r="F35" s="2"/>
      <c r="G35" s="2"/>
      <c r="H35" s="2"/>
      <c r="I35" s="58"/>
      <c r="J35" s="203"/>
    </row>
    <row r="36" spans="1:28" s="59" customFormat="1" ht="11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</row>
    <row r="37" spans="1:28" s="59" customFormat="1" ht="26.25" customHeight="1" x14ac:dyDescent="0.2">
      <c r="A37" s="18" t="s">
        <v>123</v>
      </c>
      <c r="B37" s="56"/>
      <c r="C37" s="22"/>
      <c r="D37" s="60"/>
      <c r="E37" s="60"/>
      <c r="I37" s="58"/>
    </row>
    <row r="38" spans="1:28" s="59" customFormat="1" ht="26.25" customHeight="1" x14ac:dyDescent="0.2">
      <c r="A38" s="58" t="s">
        <v>124</v>
      </c>
      <c r="B38" s="56"/>
      <c r="C38" s="22"/>
      <c r="D38" s="60"/>
      <c r="E38" s="60"/>
      <c r="I38" s="58"/>
    </row>
    <row r="39" spans="1:28" s="59" customFormat="1" ht="26.25" customHeight="1" x14ac:dyDescent="0.2">
      <c r="A39" s="18" t="s">
        <v>125</v>
      </c>
      <c r="B39" s="18"/>
      <c r="C39" s="9"/>
      <c r="D39" s="60"/>
      <c r="E39" s="60"/>
      <c r="I39" s="58"/>
    </row>
    <row r="40" spans="1:28" ht="24.75" customHeight="1" x14ac:dyDescent="0.2">
      <c r="A40" s="18" t="s">
        <v>126</v>
      </c>
      <c r="B40" s="18"/>
      <c r="C40" s="9"/>
      <c r="D40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66DD7B88-280B-419A-A3D2-C3BFEDCE57BF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2D0D-125C-4828-A3B4-A9228DD9349E}">
  <dimension ref="A1:AB40"/>
  <sheetViews>
    <sheetView topLeftCell="A19" workbookViewId="0">
      <selection activeCell="J23" sqref="J23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2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2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2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2" s="3" customFormat="1" ht="23.25" customHeight="1" x14ac:dyDescent="0.2">
      <c r="A4" s="73" t="s">
        <v>21</v>
      </c>
      <c r="B4" s="37"/>
      <c r="C4" s="37"/>
      <c r="D4" s="37"/>
      <c r="E4" s="37"/>
      <c r="J4" s="249">
        <v>44573</v>
      </c>
      <c r="K4" s="258">
        <v>43681</v>
      </c>
      <c r="L4" s="259"/>
    </row>
    <row r="5" spans="1:12" ht="24" customHeight="1" x14ac:dyDescent="0.2">
      <c r="A5" s="260" t="s">
        <v>1035</v>
      </c>
      <c r="B5" s="260"/>
      <c r="C5" s="260"/>
      <c r="D5" s="58"/>
    </row>
    <row r="6" spans="1:12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2" s="13" customFormat="1" ht="22.5" customHeight="1" x14ac:dyDescent="0.3">
      <c r="A7" s="38"/>
      <c r="B7" s="17"/>
      <c r="C7" s="17"/>
      <c r="D7" s="71" t="s">
        <v>33</v>
      </c>
      <c r="E7" s="24"/>
      <c r="F7" s="24"/>
      <c r="G7" s="24"/>
      <c r="H7" s="24"/>
      <c r="I7" s="12"/>
    </row>
    <row r="8" spans="1:12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2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47" t="s">
        <v>8</v>
      </c>
      <c r="J9" s="110" t="s">
        <v>10</v>
      </c>
    </row>
    <row r="10" spans="1:12" s="13" customFormat="1" ht="26.1" customHeight="1" thickBot="1" x14ac:dyDescent="0.2">
      <c r="A10" s="264" t="s">
        <v>0</v>
      </c>
      <c r="B10" s="265"/>
      <c r="C10" s="192" t="s">
        <v>4</v>
      </c>
      <c r="D10" s="248" t="s">
        <v>6</v>
      </c>
      <c r="E10" s="248" t="s">
        <v>5</v>
      </c>
      <c r="F10" s="248" t="s">
        <v>6</v>
      </c>
      <c r="G10" s="248" t="s">
        <v>5</v>
      </c>
      <c r="H10" s="84" t="s">
        <v>6</v>
      </c>
      <c r="I10" s="84" t="s">
        <v>7</v>
      </c>
      <c r="J10" s="84" t="s">
        <v>7</v>
      </c>
    </row>
    <row r="11" spans="1:12" ht="26.1" customHeight="1" x14ac:dyDescent="0.2">
      <c r="A11" s="89" t="s">
        <v>782</v>
      </c>
      <c r="B11" s="231"/>
      <c r="C11" s="76" t="s">
        <v>1036</v>
      </c>
      <c r="D11" s="186" t="s">
        <v>1037</v>
      </c>
      <c r="E11" s="200" t="s">
        <v>1038</v>
      </c>
      <c r="F11" s="181" t="s">
        <v>1039</v>
      </c>
      <c r="G11" s="229" t="s">
        <v>1038</v>
      </c>
      <c r="H11" s="167" t="s">
        <v>1040</v>
      </c>
      <c r="I11" s="146">
        <f>DATE(2022,2,4+30)</f>
        <v>44626</v>
      </c>
      <c r="J11" s="147">
        <f>DATE(2022,3,6+7)</f>
        <v>44633</v>
      </c>
      <c r="K11" s="204"/>
    </row>
    <row r="12" spans="1:12" ht="26.1" customHeight="1" x14ac:dyDescent="0.2">
      <c r="A12" s="170" t="s">
        <v>279</v>
      </c>
      <c r="B12" s="172"/>
      <c r="C12" s="173" t="s">
        <v>1041</v>
      </c>
      <c r="D12" s="145" t="s">
        <v>1052</v>
      </c>
      <c r="E12" s="232" t="s">
        <v>1031</v>
      </c>
      <c r="F12" s="226" t="s">
        <v>1053</v>
      </c>
      <c r="G12" s="230" t="s">
        <v>1033</v>
      </c>
      <c r="H12" s="167" t="s">
        <v>1054</v>
      </c>
      <c r="I12" s="146">
        <f>DATE(2022,2,6+30)</f>
        <v>44628</v>
      </c>
      <c r="J12" s="147">
        <f>DATE(2022,3,8+7)</f>
        <v>44635</v>
      </c>
      <c r="K12" s="204"/>
    </row>
    <row r="13" spans="1:12" ht="26.1" customHeight="1" x14ac:dyDescent="0.2">
      <c r="A13" s="170" t="s">
        <v>912</v>
      </c>
      <c r="B13" s="172"/>
      <c r="C13" s="173" t="s">
        <v>1042</v>
      </c>
      <c r="D13" s="145" t="s">
        <v>1055</v>
      </c>
      <c r="E13" s="232" t="s">
        <v>1056</v>
      </c>
      <c r="F13" s="183" t="s">
        <v>1055</v>
      </c>
      <c r="G13" s="228" t="s">
        <v>1056</v>
      </c>
      <c r="H13" s="167" t="s">
        <v>1057</v>
      </c>
      <c r="I13" s="146">
        <f>DATE(2022,2,7+30)</f>
        <v>44629</v>
      </c>
      <c r="J13" s="147">
        <f>DATE(2022,3,9+7)</f>
        <v>44636</v>
      </c>
      <c r="K13" s="204"/>
    </row>
    <row r="14" spans="1:12" ht="26.1" customHeight="1" x14ac:dyDescent="0.2">
      <c r="A14" s="89" t="s">
        <v>973</v>
      </c>
      <c r="B14" s="231"/>
      <c r="C14" s="76" t="s">
        <v>1043</v>
      </c>
      <c r="D14" s="186" t="s">
        <v>1058</v>
      </c>
      <c r="E14" s="200" t="s">
        <v>1060</v>
      </c>
      <c r="F14" s="181" t="s">
        <v>1061</v>
      </c>
      <c r="G14" s="229" t="s">
        <v>1059</v>
      </c>
      <c r="H14" s="167" t="s">
        <v>1062</v>
      </c>
      <c r="I14" s="146">
        <f>DATE(2022,2,11+30)</f>
        <v>44633</v>
      </c>
      <c r="J14" s="147">
        <f>DATE(2022,3,13+7)</f>
        <v>44640</v>
      </c>
      <c r="K14" s="204"/>
    </row>
    <row r="15" spans="1:12" ht="25.5" customHeight="1" x14ac:dyDescent="0.2">
      <c r="A15" s="170" t="s">
        <v>279</v>
      </c>
      <c r="B15" s="172"/>
      <c r="C15" s="173" t="s">
        <v>1044</v>
      </c>
      <c r="D15" s="145" t="s">
        <v>1063</v>
      </c>
      <c r="E15" s="235" t="s">
        <v>1064</v>
      </c>
      <c r="F15" s="181" t="s">
        <v>1065</v>
      </c>
      <c r="G15" s="201" t="s">
        <v>1057</v>
      </c>
      <c r="H15" s="145" t="s">
        <v>1066</v>
      </c>
      <c r="I15" s="146">
        <f>DATE(2022,2,13+30)</f>
        <v>44635</v>
      </c>
      <c r="J15" s="147">
        <f>DATE(2022,3,15+7)</f>
        <v>44642</v>
      </c>
      <c r="K15" s="204"/>
    </row>
    <row r="16" spans="1:12" ht="25.5" customHeight="1" x14ac:dyDescent="0.2">
      <c r="A16" s="89" t="s">
        <v>912</v>
      </c>
      <c r="B16" s="231"/>
      <c r="C16" s="76" t="s">
        <v>1045</v>
      </c>
      <c r="D16" s="145" t="s">
        <v>1067</v>
      </c>
      <c r="E16" s="200" t="s">
        <v>1068</v>
      </c>
      <c r="F16" s="182" t="s">
        <v>1069</v>
      </c>
      <c r="G16" s="229" t="s">
        <v>1068</v>
      </c>
      <c r="H16" s="236" t="s">
        <v>1070</v>
      </c>
      <c r="I16" s="146">
        <f>DATE(2022,2,14+30)</f>
        <v>44636</v>
      </c>
      <c r="J16" s="147">
        <f>DATE(2022,3,16+7)</f>
        <v>44643</v>
      </c>
      <c r="K16" s="204"/>
    </row>
    <row r="17" spans="1:28" ht="25.5" customHeight="1" x14ac:dyDescent="0.2">
      <c r="A17" s="170" t="s">
        <v>972</v>
      </c>
      <c r="B17" s="172"/>
      <c r="C17" s="173"/>
      <c r="D17" s="214" t="s">
        <v>1071</v>
      </c>
      <c r="E17" s="240" t="s">
        <v>1072</v>
      </c>
      <c r="F17" s="242" t="s">
        <v>1073</v>
      </c>
      <c r="G17" s="245" t="s">
        <v>1068</v>
      </c>
      <c r="H17" s="252" t="s">
        <v>1074</v>
      </c>
      <c r="I17" s="146"/>
      <c r="J17" s="147"/>
      <c r="K17" s="204"/>
    </row>
    <row r="18" spans="1:28" ht="25.5" customHeight="1" x14ac:dyDescent="0.2">
      <c r="A18" s="170" t="s">
        <v>279</v>
      </c>
      <c r="B18" s="172"/>
      <c r="C18" s="173" t="s">
        <v>1046</v>
      </c>
      <c r="D18" s="145" t="s">
        <v>1075</v>
      </c>
      <c r="E18" s="235" t="s">
        <v>1076</v>
      </c>
      <c r="F18" s="181" t="s">
        <v>1077</v>
      </c>
      <c r="G18" s="229" t="s">
        <v>1070</v>
      </c>
      <c r="H18" s="237" t="s">
        <v>1078</v>
      </c>
      <c r="I18" s="146">
        <f>DATE(2022,2,20+30)</f>
        <v>44642</v>
      </c>
      <c r="J18" s="147">
        <f>DATE(2022,3,22+7)</f>
        <v>44649</v>
      </c>
      <c r="K18" s="204"/>
    </row>
    <row r="19" spans="1:28" ht="25.5" customHeight="1" x14ac:dyDescent="0.2">
      <c r="A19" s="170" t="s">
        <v>912</v>
      </c>
      <c r="B19" s="172"/>
      <c r="C19" s="173" t="s">
        <v>1047</v>
      </c>
      <c r="D19" s="145" t="s">
        <v>1079</v>
      </c>
      <c r="E19" s="235" t="s">
        <v>1081</v>
      </c>
      <c r="F19" s="181" t="s">
        <v>1082</v>
      </c>
      <c r="G19" s="229" t="s">
        <v>1080</v>
      </c>
      <c r="H19" s="237" t="s">
        <v>1083</v>
      </c>
      <c r="I19" s="146">
        <f>DATE(2022,2,21+30)</f>
        <v>44643</v>
      </c>
      <c r="J19" s="147">
        <f>DATE(2022,3,23+7)</f>
        <v>44650</v>
      </c>
      <c r="K19" s="204"/>
    </row>
    <row r="20" spans="1:28" ht="25.5" customHeight="1" x14ac:dyDescent="0.2">
      <c r="A20" s="170" t="s">
        <v>973</v>
      </c>
      <c r="B20" s="172"/>
      <c r="C20" s="173" t="s">
        <v>1048</v>
      </c>
      <c r="D20" s="145" t="s">
        <v>1084</v>
      </c>
      <c r="E20" s="235" t="s">
        <v>1085</v>
      </c>
      <c r="F20" s="181" t="s">
        <v>1086</v>
      </c>
      <c r="G20" s="229" t="s">
        <v>1085</v>
      </c>
      <c r="H20" s="237" t="s">
        <v>1087</v>
      </c>
      <c r="I20" s="146">
        <f>DATE(2022,2,25+30)</f>
        <v>44647</v>
      </c>
      <c r="J20" s="147">
        <f>DATE(2022,3,27+7)</f>
        <v>44654</v>
      </c>
      <c r="K20" s="204"/>
    </row>
    <row r="21" spans="1:28" ht="25.5" customHeight="1" x14ac:dyDescent="0.2">
      <c r="A21" s="170" t="s">
        <v>279</v>
      </c>
      <c r="B21" s="172"/>
      <c r="C21" s="173" t="s">
        <v>1049</v>
      </c>
      <c r="D21" s="145" t="s">
        <v>1088</v>
      </c>
      <c r="E21" s="235" t="s">
        <v>1074</v>
      </c>
      <c r="F21" s="181" t="s">
        <v>1089</v>
      </c>
      <c r="G21" s="229" t="s">
        <v>1074</v>
      </c>
      <c r="H21" s="237" t="s">
        <v>1090</v>
      </c>
      <c r="I21" s="146">
        <f>DATE(2022,2,27+30)</f>
        <v>44649</v>
      </c>
      <c r="J21" s="147">
        <f>DATE(2022,3,29+7)</f>
        <v>44656</v>
      </c>
      <c r="K21" s="204"/>
    </row>
    <row r="22" spans="1:28" ht="25.5" customHeight="1" x14ac:dyDescent="0.2">
      <c r="A22" s="170" t="s">
        <v>912</v>
      </c>
      <c r="B22" s="172"/>
      <c r="C22" s="173" t="s">
        <v>1050</v>
      </c>
      <c r="D22" s="145" t="s">
        <v>1091</v>
      </c>
      <c r="E22" s="235" t="s">
        <v>1092</v>
      </c>
      <c r="F22" s="181" t="s">
        <v>1091</v>
      </c>
      <c r="G22" s="229" t="s">
        <v>1092</v>
      </c>
      <c r="H22" s="237" t="s">
        <v>1093</v>
      </c>
      <c r="I22" s="146">
        <f>DATE(2022,2,28+30)</f>
        <v>44650</v>
      </c>
      <c r="J22" s="147">
        <f>DATE(2022,3,30+7)</f>
        <v>44657</v>
      </c>
      <c r="K22" s="204"/>
    </row>
    <row r="23" spans="1:28" ht="25.5" customHeight="1" x14ac:dyDescent="0.2">
      <c r="A23" s="170" t="s">
        <v>973</v>
      </c>
      <c r="B23" s="172"/>
      <c r="C23" s="173" t="s">
        <v>1051</v>
      </c>
      <c r="D23" s="145" t="s">
        <v>1094</v>
      </c>
      <c r="E23" s="235" t="s">
        <v>1095</v>
      </c>
      <c r="F23" s="181" t="s">
        <v>1096</v>
      </c>
      <c r="G23" s="229" t="s">
        <v>1095</v>
      </c>
      <c r="H23" s="237" t="s">
        <v>1097</v>
      </c>
      <c r="I23" s="146">
        <f>DATE(2022,3,4+30)</f>
        <v>44654</v>
      </c>
      <c r="J23" s="147">
        <f>DATE(2022,4,3+7)</f>
        <v>44661</v>
      </c>
      <c r="K23" s="204"/>
    </row>
    <row r="24" spans="1:28" ht="25.5" customHeight="1" x14ac:dyDescent="0.2">
      <c r="A24" s="159"/>
      <c r="B24" s="224"/>
      <c r="C24" s="225"/>
      <c r="D24" s="186"/>
      <c r="E24" s="205"/>
      <c r="F24" s="226"/>
      <c r="G24" s="198"/>
      <c r="H24" s="237"/>
      <c r="I24" s="146"/>
      <c r="J24" s="147"/>
      <c r="K24" s="204"/>
    </row>
    <row r="25" spans="1:28" ht="24.75" customHeight="1" x14ac:dyDescent="0.2">
      <c r="A25" s="170"/>
      <c r="B25" s="172"/>
      <c r="C25" s="173"/>
      <c r="D25" s="181"/>
      <c r="E25" s="181"/>
      <c r="F25" s="181"/>
      <c r="G25" s="181"/>
      <c r="H25" s="145"/>
      <c r="I25" s="146"/>
      <c r="J25" s="147"/>
      <c r="K25" s="204"/>
    </row>
    <row r="26" spans="1:28" ht="13.5" customHeight="1" x14ac:dyDescent="0.2">
      <c r="A26" s="67"/>
      <c r="B26" s="18"/>
      <c r="G26" s="90"/>
      <c r="H26" s="54"/>
      <c r="I26" s="54"/>
      <c r="J26" s="54"/>
      <c r="K26" s="204"/>
    </row>
    <row r="27" spans="1:28" ht="26.25" customHeight="1" x14ac:dyDescent="0.2">
      <c r="A27" s="15"/>
      <c r="B27" s="209" t="s">
        <v>77</v>
      </c>
      <c r="C27" s="91" t="s">
        <v>78</v>
      </c>
      <c r="E27" s="92"/>
      <c r="F27" s="208" t="s">
        <v>82</v>
      </c>
      <c r="G27" s="115" t="s">
        <v>87</v>
      </c>
      <c r="H27" s="108"/>
      <c r="I27" s="54"/>
      <c r="J27" s="108"/>
      <c r="K27" s="108"/>
    </row>
    <row r="28" spans="1:28" s="2" customFormat="1" ht="26.25" customHeight="1" x14ac:dyDescent="0.2">
      <c r="A28" s="93"/>
      <c r="B28" s="93"/>
      <c r="C28" s="91" t="s">
        <v>79</v>
      </c>
      <c r="D28" s="203"/>
      <c r="E28" s="92"/>
      <c r="F28" s="10"/>
      <c r="G28" s="10" t="s">
        <v>89</v>
      </c>
      <c r="H28" s="108"/>
      <c r="I28" s="10"/>
      <c r="J28" s="108"/>
      <c r="K28" s="108"/>
      <c r="L28" s="203"/>
    </row>
    <row r="29" spans="1:28" s="33" customFormat="1" ht="26.25" customHeight="1" x14ac:dyDescent="0.2">
      <c r="A29" s="94"/>
      <c r="B29" s="94"/>
      <c r="C29" s="15" t="s">
        <v>80</v>
      </c>
      <c r="D29" s="203"/>
      <c r="E29" s="92"/>
      <c r="F29" s="10"/>
      <c r="G29" s="116" t="s">
        <v>90</v>
      </c>
      <c r="H29" s="15"/>
      <c r="I29" s="109"/>
      <c r="J29" s="15"/>
      <c r="K29" s="15"/>
      <c r="L29" s="203"/>
      <c r="M29" s="203"/>
      <c r="N29" s="203"/>
      <c r="O29" s="203"/>
      <c r="P29" s="203"/>
      <c r="Q29" s="203"/>
      <c r="R29" s="15"/>
      <c r="S29" s="15"/>
      <c r="T29" s="15"/>
      <c r="U29" s="203"/>
      <c r="V29" s="203"/>
      <c r="W29" s="203"/>
      <c r="X29" s="203"/>
      <c r="Y29" s="203"/>
      <c r="Z29" s="203"/>
      <c r="AA29" s="90"/>
      <c r="AB29" s="90"/>
    </row>
    <row r="30" spans="1:28" s="33" customFormat="1" ht="26.25" customHeight="1" x14ac:dyDescent="0.2">
      <c r="A30" s="15"/>
      <c r="B30" s="15"/>
      <c r="C30" s="15" t="s">
        <v>81</v>
      </c>
      <c r="D30" s="96"/>
      <c r="E30" s="203"/>
      <c r="F30" s="10"/>
      <c r="G30" s="15" t="s">
        <v>91</v>
      </c>
      <c r="H30" s="15"/>
      <c r="I30" s="109"/>
      <c r="J30" s="15"/>
      <c r="K30" s="15"/>
      <c r="L30" s="5"/>
      <c r="M30" s="203"/>
      <c r="N30" s="91"/>
      <c r="O30" s="203"/>
      <c r="P30" s="203"/>
      <c r="Q30" s="203"/>
      <c r="R30" s="15"/>
      <c r="S30" s="15"/>
      <c r="T30" s="15"/>
      <c r="U30" s="91"/>
      <c r="V30" s="203"/>
      <c r="W30" s="203"/>
      <c r="X30" s="203"/>
      <c r="Y30" s="92"/>
      <c r="Z30" s="1"/>
      <c r="AA30" s="90"/>
      <c r="AB30" s="90"/>
    </row>
    <row r="31" spans="1:28" s="33" customFormat="1" ht="12.7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19"/>
      <c r="M31" s="203"/>
      <c r="N31" s="10"/>
      <c r="O31" s="203"/>
      <c r="P31" s="203"/>
      <c r="Q31" s="203"/>
      <c r="R31" s="15"/>
      <c r="S31" s="93"/>
      <c r="T31" s="93"/>
      <c r="U31" s="91"/>
      <c r="V31" s="203"/>
      <c r="W31" s="203"/>
      <c r="X31" s="203"/>
      <c r="Y31" s="92"/>
      <c r="Z31" s="203"/>
      <c r="AA31" s="90"/>
      <c r="AB31" s="90"/>
    </row>
    <row r="32" spans="1:28" s="33" customFormat="1" ht="26.25" customHeight="1" x14ac:dyDescent="0.2">
      <c r="A32" s="42" t="s">
        <v>1</v>
      </c>
      <c r="B32" s="43"/>
      <c r="C32" s="44"/>
      <c r="D32" s="45"/>
      <c r="E32" s="51"/>
      <c r="F32" s="20"/>
      <c r="G32" s="20"/>
      <c r="H32" s="20"/>
      <c r="I32" s="14"/>
      <c r="J32" s="15"/>
      <c r="K32" s="203"/>
      <c r="L32" s="203"/>
      <c r="M32" s="203"/>
      <c r="N32" s="10"/>
      <c r="O32" s="203"/>
      <c r="P32" s="203"/>
      <c r="Q32" s="203"/>
      <c r="R32" s="203"/>
      <c r="S32" s="94"/>
      <c r="T32" s="94"/>
      <c r="U32" s="15"/>
      <c r="V32" s="203"/>
      <c r="W32" s="203"/>
      <c r="X32" s="203"/>
      <c r="Y32" s="92"/>
      <c r="Z32" s="4"/>
      <c r="AA32" s="32"/>
      <c r="AB32" s="32"/>
    </row>
    <row r="33" spans="1:28" s="59" customFormat="1" ht="26.25" customHeight="1" x14ac:dyDescent="0.2">
      <c r="A33" s="106" t="s">
        <v>18</v>
      </c>
      <c r="B33" s="2"/>
      <c r="C33" s="2"/>
      <c r="D33" s="46"/>
      <c r="E33" s="189"/>
      <c r="F33" s="2"/>
      <c r="G33" s="2"/>
      <c r="H33" s="2"/>
      <c r="I33" s="15"/>
      <c r="J33" s="15"/>
      <c r="K33" s="203"/>
      <c r="L33" s="203"/>
      <c r="M33" s="203"/>
      <c r="N33" s="203"/>
      <c r="O33" s="203"/>
      <c r="P33" s="203"/>
      <c r="Q33" s="203"/>
      <c r="R33" s="15"/>
      <c r="S33" s="15"/>
      <c r="T33" s="15"/>
      <c r="U33" s="15"/>
      <c r="V33" s="96"/>
      <c r="W33" s="96"/>
      <c r="X33" s="97"/>
      <c r="Y33" s="203"/>
      <c r="Z33" s="1"/>
      <c r="AA33" s="32"/>
      <c r="AB33" s="32"/>
    </row>
    <row r="34" spans="1:28" s="59" customFormat="1" ht="12.75" customHeight="1" x14ac:dyDescent="0.2">
      <c r="A34" s="49"/>
      <c r="B34" s="27"/>
      <c r="C34" s="28"/>
      <c r="D34" s="50" t="s">
        <v>33</v>
      </c>
      <c r="E34" s="190"/>
      <c r="F34" s="2"/>
      <c r="G34" s="2"/>
      <c r="H34" s="2"/>
      <c r="J34" s="15"/>
      <c r="K34" s="203"/>
      <c r="L34" s="203"/>
    </row>
    <row r="35" spans="1:28" s="59" customFormat="1" ht="13.5" customHeight="1" x14ac:dyDescent="0.2">
      <c r="A35" s="62" t="s">
        <v>33</v>
      </c>
      <c r="B35" s="63"/>
      <c r="C35" s="64"/>
      <c r="D35" s="65"/>
      <c r="E35" s="191"/>
      <c r="F35" s="2"/>
      <c r="G35" s="2"/>
      <c r="H35" s="2"/>
      <c r="I35" s="58"/>
      <c r="J35" s="203"/>
    </row>
    <row r="36" spans="1:28" s="59" customFormat="1" ht="11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</row>
    <row r="37" spans="1:28" s="59" customFormat="1" ht="26.25" customHeight="1" x14ac:dyDescent="0.2">
      <c r="A37" s="18" t="s">
        <v>123</v>
      </c>
      <c r="B37" s="56"/>
      <c r="C37" s="22"/>
      <c r="D37" s="60"/>
      <c r="E37" s="60"/>
      <c r="I37" s="58"/>
    </row>
    <row r="38" spans="1:28" s="59" customFormat="1" ht="26.25" customHeight="1" x14ac:dyDescent="0.2">
      <c r="A38" s="58" t="s">
        <v>124</v>
      </c>
      <c r="B38" s="56"/>
      <c r="C38" s="22"/>
      <c r="D38" s="60"/>
      <c r="E38" s="60"/>
      <c r="I38" s="58"/>
    </row>
    <row r="39" spans="1:28" s="59" customFormat="1" ht="26.25" customHeight="1" x14ac:dyDescent="0.2">
      <c r="A39" s="18" t="s">
        <v>125</v>
      </c>
      <c r="B39" s="18"/>
      <c r="C39" s="9"/>
      <c r="D39" s="60"/>
      <c r="E39" s="60"/>
      <c r="I39" s="58"/>
    </row>
    <row r="40" spans="1:28" ht="24.75" customHeight="1" x14ac:dyDescent="0.2">
      <c r="A40" s="18" t="s">
        <v>126</v>
      </c>
      <c r="B40" s="18"/>
      <c r="C40" s="9"/>
      <c r="D40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06E9B4F1-5BB5-4FD7-A390-373C6079B6B5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2950-510A-4867-AE7A-164180481DE4}">
  <dimension ref="A1:AB40"/>
  <sheetViews>
    <sheetView topLeftCell="E7" workbookViewId="0">
      <selection activeCell="J15" sqref="J15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3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3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3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3" s="3" customFormat="1" ht="23.25" customHeight="1" x14ac:dyDescent="0.2">
      <c r="A4" s="73" t="s">
        <v>21</v>
      </c>
      <c r="B4" s="37"/>
      <c r="C4" s="37"/>
      <c r="D4" s="37"/>
      <c r="E4" s="37"/>
      <c r="J4" s="249">
        <v>44643</v>
      </c>
      <c r="K4" s="258">
        <v>43681</v>
      </c>
      <c r="L4" s="259"/>
    </row>
    <row r="5" spans="1:13" ht="24" customHeight="1" x14ac:dyDescent="0.2">
      <c r="A5" s="260" t="s">
        <v>1035</v>
      </c>
      <c r="B5" s="260"/>
      <c r="C5" s="260"/>
      <c r="D5" s="58"/>
    </row>
    <row r="6" spans="1:13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3" s="13" customFormat="1" ht="22.5" customHeight="1" x14ac:dyDescent="0.3">
      <c r="A7" s="38"/>
      <c r="B7" s="17"/>
      <c r="C7" s="17"/>
      <c r="D7" s="71" t="s">
        <v>33</v>
      </c>
      <c r="E7" s="24"/>
      <c r="F7" s="24"/>
      <c r="G7" s="24"/>
      <c r="H7" s="24"/>
      <c r="I7" s="12"/>
    </row>
    <row r="8" spans="1:13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3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50" t="s">
        <v>8</v>
      </c>
      <c r="J9" s="110" t="s">
        <v>10</v>
      </c>
    </row>
    <row r="10" spans="1:13" s="13" customFormat="1" ht="26.1" customHeight="1" thickBot="1" x14ac:dyDescent="0.2">
      <c r="A10" s="264" t="s">
        <v>0</v>
      </c>
      <c r="B10" s="265"/>
      <c r="C10" s="192" t="s">
        <v>4</v>
      </c>
      <c r="D10" s="251" t="s">
        <v>6</v>
      </c>
      <c r="E10" s="251" t="s">
        <v>5</v>
      </c>
      <c r="F10" s="251" t="s">
        <v>6</v>
      </c>
      <c r="G10" s="251" t="s">
        <v>5</v>
      </c>
      <c r="H10" s="84" t="s">
        <v>6</v>
      </c>
      <c r="I10" s="84" t="s">
        <v>7</v>
      </c>
      <c r="J10" s="84" t="s">
        <v>7</v>
      </c>
    </row>
    <row r="11" spans="1:13" ht="26.1" customHeight="1" x14ac:dyDescent="0.2">
      <c r="A11" s="89" t="s">
        <v>912</v>
      </c>
      <c r="B11" s="231"/>
      <c r="C11" s="76" t="s">
        <v>1098</v>
      </c>
      <c r="D11" s="186" t="s">
        <v>1112</v>
      </c>
      <c r="E11" s="200" t="s">
        <v>1126</v>
      </c>
      <c r="F11" s="181" t="s">
        <v>1142</v>
      </c>
      <c r="G11" s="229" t="s">
        <v>1126</v>
      </c>
      <c r="H11" s="167" t="s">
        <v>1153</v>
      </c>
      <c r="I11" s="146">
        <f>DATE(2022,4,4+30)</f>
        <v>44685</v>
      </c>
      <c r="J11" s="147">
        <f>I11+7</f>
        <v>44692</v>
      </c>
      <c r="K11" s="204"/>
      <c r="M11" s="255"/>
    </row>
    <row r="12" spans="1:13" ht="26.1" customHeight="1" x14ac:dyDescent="0.2">
      <c r="A12" s="170" t="s">
        <v>782</v>
      </c>
      <c r="B12" s="172"/>
      <c r="C12" s="173" t="s">
        <v>1099</v>
      </c>
      <c r="D12" s="145" t="s">
        <v>1113</v>
      </c>
      <c r="E12" s="232" t="s">
        <v>1127</v>
      </c>
      <c r="F12" s="226" t="s">
        <v>1143</v>
      </c>
      <c r="G12" s="229" t="s">
        <v>1127</v>
      </c>
      <c r="H12" s="167" t="s">
        <v>1158</v>
      </c>
      <c r="I12" s="146">
        <f>DATE(2022,4,8+30)</f>
        <v>44689</v>
      </c>
      <c r="J12" s="147">
        <f t="shared" ref="J12:J24" si="0">I12+7</f>
        <v>44696</v>
      </c>
      <c r="K12" s="204"/>
      <c r="M12" s="255"/>
    </row>
    <row r="13" spans="1:13" ht="26.1" customHeight="1" x14ac:dyDescent="0.2">
      <c r="A13" s="170" t="s">
        <v>279</v>
      </c>
      <c r="B13" s="172"/>
      <c r="C13" s="173" t="s">
        <v>1100</v>
      </c>
      <c r="D13" s="145" t="s">
        <v>1114</v>
      </c>
      <c r="E13" s="232" t="s">
        <v>1128</v>
      </c>
      <c r="F13" s="183" t="s">
        <v>1144</v>
      </c>
      <c r="G13" s="229" t="s">
        <v>1153</v>
      </c>
      <c r="H13" s="167" t="s">
        <v>1159</v>
      </c>
      <c r="I13" s="146">
        <f>DATE(2022,4,10+30)</f>
        <v>44691</v>
      </c>
      <c r="J13" s="147">
        <f t="shared" si="0"/>
        <v>44698</v>
      </c>
      <c r="K13" s="204"/>
      <c r="M13" s="255"/>
    </row>
    <row r="14" spans="1:13" ht="26.1" customHeight="1" x14ac:dyDescent="0.2">
      <c r="A14" s="89" t="s">
        <v>912</v>
      </c>
      <c r="B14" s="231"/>
      <c r="C14" s="76" t="s">
        <v>1101</v>
      </c>
      <c r="D14" s="186" t="s">
        <v>1115</v>
      </c>
      <c r="E14" s="200" t="s">
        <v>1129</v>
      </c>
      <c r="F14" s="181" t="s">
        <v>1115</v>
      </c>
      <c r="G14" s="229" t="s">
        <v>1129</v>
      </c>
      <c r="H14" s="167" t="s">
        <v>1154</v>
      </c>
      <c r="I14" s="146">
        <f>DATE(2022,4,11+30)</f>
        <v>44692</v>
      </c>
      <c r="J14" s="147">
        <f t="shared" si="0"/>
        <v>44699</v>
      </c>
      <c r="K14" s="204"/>
      <c r="M14" s="255"/>
    </row>
    <row r="15" spans="1:13" ht="25.5" customHeight="1" x14ac:dyDescent="0.2">
      <c r="A15" s="170" t="s">
        <v>782</v>
      </c>
      <c r="B15" s="172"/>
      <c r="C15" s="173" t="s">
        <v>1102</v>
      </c>
      <c r="D15" s="145" t="s">
        <v>1116</v>
      </c>
      <c r="E15" s="235" t="s">
        <v>1130</v>
      </c>
      <c r="F15" s="181" t="s">
        <v>1145</v>
      </c>
      <c r="G15" s="229" t="s">
        <v>1130</v>
      </c>
      <c r="H15" s="145" t="s">
        <v>1135</v>
      </c>
      <c r="I15" s="146">
        <f>DATE(2022,4,15+30)</f>
        <v>44696</v>
      </c>
      <c r="J15" s="147">
        <f t="shared" si="0"/>
        <v>44703</v>
      </c>
      <c r="K15" s="204"/>
      <c r="M15" s="255"/>
    </row>
    <row r="16" spans="1:13" ht="25.5" customHeight="1" x14ac:dyDescent="0.2">
      <c r="A16" s="170" t="s">
        <v>279</v>
      </c>
      <c r="B16" s="231"/>
      <c r="C16" s="76" t="s">
        <v>1103</v>
      </c>
      <c r="D16" s="145" t="s">
        <v>1117</v>
      </c>
      <c r="E16" s="200" t="s">
        <v>1131</v>
      </c>
      <c r="F16" s="182" t="s">
        <v>1146</v>
      </c>
      <c r="G16" s="229" t="s">
        <v>1154</v>
      </c>
      <c r="H16" s="236" t="s">
        <v>1160</v>
      </c>
      <c r="I16" s="146">
        <f>DATE(2022,4,17+30)</f>
        <v>44698</v>
      </c>
      <c r="J16" s="147">
        <f t="shared" si="0"/>
        <v>44705</v>
      </c>
      <c r="K16" s="204"/>
      <c r="M16" s="255"/>
    </row>
    <row r="17" spans="1:28" ht="25.5" customHeight="1" x14ac:dyDescent="0.2">
      <c r="A17" s="89" t="s">
        <v>912</v>
      </c>
      <c r="B17" s="172"/>
      <c r="C17" s="173" t="s">
        <v>1104</v>
      </c>
      <c r="D17" s="145" t="s">
        <v>1118</v>
      </c>
      <c r="E17" s="235" t="s">
        <v>1133</v>
      </c>
      <c r="F17" s="181" t="s">
        <v>1147</v>
      </c>
      <c r="G17" s="229" t="s">
        <v>1132</v>
      </c>
      <c r="H17" s="237" t="s">
        <v>1155</v>
      </c>
      <c r="I17" s="146">
        <f>DATE(2022,4,18+30)</f>
        <v>44699</v>
      </c>
      <c r="J17" s="147">
        <f t="shared" si="0"/>
        <v>44706</v>
      </c>
      <c r="K17" s="204"/>
      <c r="M17" s="255"/>
    </row>
    <row r="18" spans="1:28" ht="25.5" customHeight="1" x14ac:dyDescent="0.2">
      <c r="A18" s="170" t="s">
        <v>782</v>
      </c>
      <c r="B18" s="172"/>
      <c r="C18" s="173" t="s">
        <v>1105</v>
      </c>
      <c r="D18" s="145" t="s">
        <v>1119</v>
      </c>
      <c r="E18" s="235" t="s">
        <v>1134</v>
      </c>
      <c r="F18" s="181" t="s">
        <v>1148</v>
      </c>
      <c r="G18" s="229" t="str">
        <f t="shared" ref="G18:G23" si="1">E18</f>
        <v xml:space="preserve">4/14 (THU) </v>
      </c>
      <c r="H18" s="237" t="s">
        <v>1138</v>
      </c>
      <c r="I18" s="146">
        <f>DATE(2022,4,22+30)</f>
        <v>44703</v>
      </c>
      <c r="J18" s="147">
        <f t="shared" si="0"/>
        <v>44710</v>
      </c>
      <c r="K18" s="204"/>
      <c r="M18" s="255"/>
    </row>
    <row r="19" spans="1:28" ht="25.5" customHeight="1" x14ac:dyDescent="0.2">
      <c r="A19" s="170" t="s">
        <v>279</v>
      </c>
      <c r="B19" s="172"/>
      <c r="C19" s="173" t="s">
        <v>1106</v>
      </c>
      <c r="D19" s="145" t="s">
        <v>1120</v>
      </c>
      <c r="E19" s="235" t="s">
        <v>1135</v>
      </c>
      <c r="F19" s="181" t="s">
        <v>1149</v>
      </c>
      <c r="G19" s="229" t="s">
        <v>1155</v>
      </c>
      <c r="H19" s="237" t="s">
        <v>1161</v>
      </c>
      <c r="I19" s="146">
        <f>DATE(2022,4,24+30)</f>
        <v>44705</v>
      </c>
      <c r="J19" s="147">
        <f t="shared" si="0"/>
        <v>44712</v>
      </c>
      <c r="K19" s="204"/>
      <c r="M19" s="255"/>
    </row>
    <row r="20" spans="1:28" ht="25.5" customHeight="1" x14ac:dyDescent="0.2">
      <c r="A20" s="89" t="s">
        <v>912</v>
      </c>
      <c r="B20" s="172"/>
      <c r="C20" s="173" t="s">
        <v>1107</v>
      </c>
      <c r="D20" s="145" t="s">
        <v>1121</v>
      </c>
      <c r="E20" s="235" t="s">
        <v>1136</v>
      </c>
      <c r="F20" s="181" t="s">
        <v>1121</v>
      </c>
      <c r="G20" s="229" t="str">
        <f t="shared" si="1"/>
        <v>4/20 (WED)</v>
      </c>
      <c r="H20" s="237" t="s">
        <v>1156</v>
      </c>
      <c r="I20" s="146">
        <f>DATE(2022,4,25+30)</f>
        <v>44706</v>
      </c>
      <c r="J20" s="147">
        <f t="shared" si="0"/>
        <v>44713</v>
      </c>
      <c r="K20" s="204"/>
      <c r="M20" s="255"/>
    </row>
    <row r="21" spans="1:28" ht="25.5" customHeight="1" x14ac:dyDescent="0.2">
      <c r="A21" s="170" t="s">
        <v>782</v>
      </c>
      <c r="B21" s="172"/>
      <c r="C21" s="173" t="s">
        <v>1108</v>
      </c>
      <c r="D21" s="145" t="s">
        <v>1122</v>
      </c>
      <c r="E21" s="235" t="s">
        <v>1137</v>
      </c>
      <c r="F21" s="181" t="s">
        <v>1150</v>
      </c>
      <c r="G21" s="229" t="str">
        <f t="shared" si="1"/>
        <v>4/21 (THU)</v>
      </c>
      <c r="H21" s="237" t="s">
        <v>1141</v>
      </c>
      <c r="I21" s="146">
        <f>DATE(2022,4,29+30)</f>
        <v>44710</v>
      </c>
      <c r="J21" s="147">
        <f t="shared" si="0"/>
        <v>44717</v>
      </c>
      <c r="K21" s="204"/>
      <c r="M21" s="255"/>
    </row>
    <row r="22" spans="1:28" ht="25.5" customHeight="1" x14ac:dyDescent="0.2">
      <c r="A22" s="170" t="s">
        <v>279</v>
      </c>
      <c r="B22" s="172"/>
      <c r="C22" s="173" t="s">
        <v>1109</v>
      </c>
      <c r="D22" s="145" t="s">
        <v>1123</v>
      </c>
      <c r="E22" s="235" t="s">
        <v>1139</v>
      </c>
      <c r="F22" s="181" t="s">
        <v>1151</v>
      </c>
      <c r="G22" s="229" t="s">
        <v>1156</v>
      </c>
      <c r="H22" s="237" t="s">
        <v>1162</v>
      </c>
      <c r="I22" s="146">
        <f>DATE(2022,5,1+30)</f>
        <v>44712</v>
      </c>
      <c r="J22" s="147">
        <f t="shared" si="0"/>
        <v>44719</v>
      </c>
      <c r="K22" s="204"/>
      <c r="M22" s="255"/>
    </row>
    <row r="23" spans="1:28" ht="25.5" customHeight="1" x14ac:dyDescent="0.2">
      <c r="A23" s="89" t="s">
        <v>912</v>
      </c>
      <c r="B23" s="172"/>
      <c r="C23" s="173" t="s">
        <v>1110</v>
      </c>
      <c r="D23" s="145" t="s">
        <v>1124</v>
      </c>
      <c r="E23" s="235" t="s">
        <v>1140</v>
      </c>
      <c r="F23" s="181" t="s">
        <v>1124</v>
      </c>
      <c r="G23" s="229" t="str">
        <f t="shared" si="1"/>
        <v>4/27 (WED)</v>
      </c>
      <c r="H23" s="237" t="s">
        <v>1157</v>
      </c>
      <c r="I23" s="146">
        <f>DATE(2022,5,2+30)</f>
        <v>44713</v>
      </c>
      <c r="J23" s="147">
        <f t="shared" si="0"/>
        <v>44720</v>
      </c>
      <c r="K23" s="204"/>
      <c r="M23" s="255"/>
    </row>
    <row r="24" spans="1:28" ht="25.5" customHeight="1" x14ac:dyDescent="0.2">
      <c r="A24" s="170" t="s">
        <v>321</v>
      </c>
      <c r="B24" s="224"/>
      <c r="C24" s="225" t="s">
        <v>1111</v>
      </c>
      <c r="D24" s="186" t="s">
        <v>1125</v>
      </c>
      <c r="E24" s="205" t="s">
        <v>1141</v>
      </c>
      <c r="F24" s="226" t="s">
        <v>1152</v>
      </c>
      <c r="G24" s="229" t="s">
        <v>1157</v>
      </c>
      <c r="H24" s="237" t="s">
        <v>1163</v>
      </c>
      <c r="I24" s="146">
        <f>DATE(2022,5,8+30)</f>
        <v>44719</v>
      </c>
      <c r="J24" s="147">
        <f t="shared" si="0"/>
        <v>44726</v>
      </c>
      <c r="K24" s="204"/>
      <c r="M24" s="255"/>
    </row>
    <row r="25" spans="1:28" ht="24.75" customHeight="1" x14ac:dyDescent="0.2">
      <c r="A25" s="170"/>
      <c r="B25" s="172"/>
      <c r="C25" s="173"/>
      <c r="D25" s="181"/>
      <c r="E25" s="181"/>
      <c r="F25" s="181"/>
      <c r="G25" s="181"/>
      <c r="H25" s="145"/>
      <c r="I25" s="146"/>
      <c r="J25" s="147"/>
      <c r="K25" s="204"/>
      <c r="M25" s="255"/>
    </row>
    <row r="26" spans="1:28" ht="13.5" customHeight="1" x14ac:dyDescent="0.2">
      <c r="A26" s="67"/>
      <c r="B26" s="18"/>
      <c r="G26" s="90"/>
      <c r="H26" s="54"/>
      <c r="I26" s="54"/>
      <c r="J26" s="54"/>
      <c r="K26" s="204"/>
    </row>
    <row r="27" spans="1:28" ht="26.25" customHeight="1" x14ac:dyDescent="0.2">
      <c r="A27" s="15"/>
      <c r="B27" s="209" t="s">
        <v>77</v>
      </c>
      <c r="C27" s="91" t="s">
        <v>78</v>
      </c>
      <c r="E27" s="92"/>
      <c r="F27" s="208" t="s">
        <v>82</v>
      </c>
      <c r="G27" s="115" t="s">
        <v>87</v>
      </c>
      <c r="H27" s="108"/>
      <c r="I27" s="54"/>
      <c r="J27" s="108"/>
      <c r="K27" s="108"/>
    </row>
    <row r="28" spans="1:28" s="2" customFormat="1" ht="26.25" customHeight="1" x14ac:dyDescent="0.2">
      <c r="A28" s="93"/>
      <c r="B28" s="93"/>
      <c r="C28" s="91" t="s">
        <v>79</v>
      </c>
      <c r="D28" s="203"/>
      <c r="E28" s="92"/>
      <c r="F28" s="10"/>
      <c r="G28" s="10" t="s">
        <v>89</v>
      </c>
      <c r="H28" s="108"/>
      <c r="I28" s="10"/>
      <c r="J28" s="108"/>
      <c r="K28" s="108"/>
      <c r="L28" s="203"/>
    </row>
    <row r="29" spans="1:28" s="33" customFormat="1" ht="26.25" customHeight="1" x14ac:dyDescent="0.2">
      <c r="A29" s="94"/>
      <c r="B29" s="94"/>
      <c r="C29" s="15" t="s">
        <v>80</v>
      </c>
      <c r="D29" s="203"/>
      <c r="E29" s="92"/>
      <c r="F29" s="10"/>
      <c r="G29" s="116" t="s">
        <v>90</v>
      </c>
      <c r="H29" s="15"/>
      <c r="I29" s="109"/>
      <c r="J29" s="15"/>
      <c r="K29" s="15"/>
      <c r="L29" s="203"/>
      <c r="M29" s="203"/>
      <c r="N29" s="203"/>
      <c r="O29" s="203"/>
      <c r="P29" s="203"/>
      <c r="Q29" s="203"/>
      <c r="R29" s="15"/>
      <c r="S29" s="15"/>
      <c r="T29" s="15"/>
      <c r="U29" s="203"/>
      <c r="V29" s="203"/>
      <c r="W29" s="203"/>
      <c r="X29" s="203"/>
      <c r="Y29" s="203"/>
      <c r="Z29" s="203"/>
      <c r="AA29" s="90"/>
      <c r="AB29" s="90"/>
    </row>
    <row r="30" spans="1:28" s="33" customFormat="1" ht="26.25" customHeight="1" x14ac:dyDescent="0.2">
      <c r="A30" s="15"/>
      <c r="B30" s="15"/>
      <c r="C30" s="15" t="s">
        <v>81</v>
      </c>
      <c r="D30" s="96"/>
      <c r="E30" s="203"/>
      <c r="F30" s="10"/>
      <c r="G30" s="15" t="s">
        <v>91</v>
      </c>
      <c r="H30" s="15"/>
      <c r="I30" s="109"/>
      <c r="J30" s="15"/>
      <c r="K30" s="15"/>
      <c r="L30" s="5"/>
      <c r="M30" s="203"/>
      <c r="N30" s="91"/>
      <c r="O30" s="203"/>
      <c r="P30" s="203"/>
      <c r="Q30" s="203"/>
      <c r="R30" s="15"/>
      <c r="S30" s="15"/>
      <c r="T30" s="15"/>
      <c r="U30" s="91"/>
      <c r="V30" s="203"/>
      <c r="W30" s="203"/>
      <c r="X30" s="203"/>
      <c r="Y30" s="92"/>
      <c r="Z30" s="1"/>
      <c r="AA30" s="90"/>
      <c r="AB30" s="90"/>
    </row>
    <row r="31" spans="1:28" s="33" customFormat="1" ht="12.7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19"/>
      <c r="M31" s="203"/>
      <c r="N31" s="10"/>
      <c r="O31" s="203"/>
      <c r="P31" s="203"/>
      <c r="Q31" s="203"/>
      <c r="R31" s="15"/>
      <c r="S31" s="93"/>
      <c r="T31" s="93"/>
      <c r="U31" s="91"/>
      <c r="V31" s="203"/>
      <c r="W31" s="203"/>
      <c r="X31" s="203"/>
      <c r="Y31" s="92"/>
      <c r="Z31" s="203"/>
      <c r="AA31" s="90"/>
      <c r="AB31" s="90"/>
    </row>
    <row r="32" spans="1:28" s="33" customFormat="1" ht="26.25" customHeight="1" x14ac:dyDescent="0.2">
      <c r="A32" s="42" t="s">
        <v>1</v>
      </c>
      <c r="B32" s="43"/>
      <c r="C32" s="44"/>
      <c r="D32" s="45"/>
      <c r="E32" s="51"/>
      <c r="F32" s="20"/>
      <c r="G32" s="20"/>
      <c r="H32" s="20"/>
      <c r="I32" s="14"/>
      <c r="J32" s="15"/>
      <c r="K32" s="203"/>
      <c r="L32" s="203"/>
      <c r="M32" s="203"/>
      <c r="N32" s="10"/>
      <c r="O32" s="203"/>
      <c r="P32" s="203"/>
      <c r="Q32" s="203"/>
      <c r="R32" s="203"/>
      <c r="S32" s="94"/>
      <c r="T32" s="94"/>
      <c r="U32" s="15"/>
      <c r="V32" s="203"/>
      <c r="W32" s="203"/>
      <c r="X32" s="203"/>
      <c r="Y32" s="92"/>
      <c r="Z32" s="4"/>
      <c r="AA32" s="32"/>
      <c r="AB32" s="32"/>
    </row>
    <row r="33" spans="1:28" s="59" customFormat="1" ht="26.25" customHeight="1" x14ac:dyDescent="0.2">
      <c r="A33" s="106" t="s">
        <v>18</v>
      </c>
      <c r="B33" s="2"/>
      <c r="C33" s="2"/>
      <c r="D33" s="46"/>
      <c r="E33" s="189"/>
      <c r="F33" s="2"/>
      <c r="G33" s="2"/>
      <c r="H33" s="2"/>
      <c r="I33" s="15"/>
      <c r="J33" s="15"/>
      <c r="K33" s="203"/>
      <c r="L33" s="203"/>
      <c r="M33" s="203"/>
      <c r="N33" s="203"/>
      <c r="O33" s="203"/>
      <c r="P33" s="203"/>
      <c r="Q33" s="203"/>
      <c r="R33" s="15"/>
      <c r="S33" s="15"/>
      <c r="T33" s="15"/>
      <c r="U33" s="15"/>
      <c r="V33" s="96"/>
      <c r="W33" s="96"/>
      <c r="X33" s="97"/>
      <c r="Y33" s="203"/>
      <c r="Z33" s="1"/>
      <c r="AA33" s="32"/>
      <c r="AB33" s="32"/>
    </row>
    <row r="34" spans="1:28" s="59" customFormat="1" ht="12.75" customHeight="1" x14ac:dyDescent="0.2">
      <c r="A34" s="49"/>
      <c r="B34" s="27"/>
      <c r="C34" s="28"/>
      <c r="D34" s="50" t="s">
        <v>33</v>
      </c>
      <c r="E34" s="190"/>
      <c r="F34" s="2"/>
      <c r="G34" s="2"/>
      <c r="H34" s="2"/>
      <c r="J34" s="15"/>
      <c r="K34" s="203"/>
      <c r="L34" s="203"/>
    </row>
    <row r="35" spans="1:28" s="59" customFormat="1" ht="13.5" customHeight="1" x14ac:dyDescent="0.2">
      <c r="A35" s="62" t="s">
        <v>33</v>
      </c>
      <c r="B35" s="63"/>
      <c r="C35" s="64"/>
      <c r="D35" s="65"/>
      <c r="E35" s="191"/>
      <c r="F35" s="2"/>
      <c r="G35" s="2"/>
      <c r="H35" s="2"/>
      <c r="I35" s="58"/>
      <c r="J35" s="203"/>
    </row>
    <row r="36" spans="1:28" s="59" customFormat="1" ht="11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</row>
    <row r="37" spans="1:28" s="59" customFormat="1" ht="26.25" customHeight="1" x14ac:dyDescent="0.2">
      <c r="A37" s="18" t="s">
        <v>123</v>
      </c>
      <c r="B37" s="56"/>
      <c r="C37" s="22"/>
      <c r="D37" s="60"/>
      <c r="E37" s="60"/>
      <c r="I37" s="58"/>
    </row>
    <row r="38" spans="1:28" s="59" customFormat="1" ht="26.25" customHeight="1" x14ac:dyDescent="0.2">
      <c r="A38" s="58" t="s">
        <v>124</v>
      </c>
      <c r="B38" s="56"/>
      <c r="C38" s="22"/>
      <c r="D38" s="60"/>
      <c r="E38" s="60"/>
      <c r="I38" s="58"/>
    </row>
    <row r="39" spans="1:28" s="59" customFormat="1" ht="26.25" customHeight="1" x14ac:dyDescent="0.2">
      <c r="A39" s="18" t="s">
        <v>125</v>
      </c>
      <c r="B39" s="18"/>
      <c r="C39" s="9"/>
      <c r="D39" s="60"/>
      <c r="E39" s="60"/>
      <c r="I39" s="58"/>
    </row>
    <row r="40" spans="1:28" ht="24.75" customHeight="1" x14ac:dyDescent="0.2">
      <c r="A40" s="18" t="s">
        <v>126</v>
      </c>
      <c r="B40" s="18"/>
      <c r="C40" s="9"/>
      <c r="D40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46BCAD8C-A11D-426C-BAC4-EF00F7E60FFC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5229-120B-4316-9A39-795E6363D495}">
  <dimension ref="A1:AB40"/>
  <sheetViews>
    <sheetView topLeftCell="D4" workbookViewId="0">
      <selection activeCell="J5" sqref="J5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3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3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3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3" s="3" customFormat="1" ht="23.25" customHeight="1" x14ac:dyDescent="0.2">
      <c r="A4" s="73" t="s">
        <v>21</v>
      </c>
      <c r="B4" s="37"/>
      <c r="C4" s="37"/>
      <c r="D4" s="37"/>
      <c r="E4" s="37"/>
      <c r="J4" s="249">
        <v>44687</v>
      </c>
      <c r="K4" s="258">
        <v>43681</v>
      </c>
      <c r="L4" s="259"/>
    </row>
    <row r="5" spans="1:13" ht="24" customHeight="1" x14ac:dyDescent="0.2">
      <c r="A5" s="260" t="s">
        <v>1035</v>
      </c>
      <c r="B5" s="260"/>
      <c r="C5" s="260"/>
      <c r="D5" s="58"/>
    </row>
    <row r="6" spans="1:13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3" s="13" customFormat="1" ht="22.5" customHeight="1" x14ac:dyDescent="0.3">
      <c r="A7" s="38"/>
      <c r="B7" s="17"/>
      <c r="C7" s="17"/>
      <c r="D7" s="71" t="s">
        <v>33</v>
      </c>
      <c r="E7" s="24"/>
      <c r="F7" s="24"/>
      <c r="G7" s="24"/>
      <c r="H7" s="24"/>
      <c r="I7" s="12"/>
    </row>
    <row r="8" spans="1:13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3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53" t="s">
        <v>8</v>
      </c>
      <c r="J9" s="110" t="s">
        <v>10</v>
      </c>
    </row>
    <row r="10" spans="1:13" s="13" customFormat="1" ht="26.1" customHeight="1" thickBot="1" x14ac:dyDescent="0.2">
      <c r="A10" s="264" t="s">
        <v>0</v>
      </c>
      <c r="B10" s="265"/>
      <c r="C10" s="192" t="s">
        <v>4</v>
      </c>
      <c r="D10" s="254" t="s">
        <v>6</v>
      </c>
      <c r="E10" s="254" t="s">
        <v>5</v>
      </c>
      <c r="F10" s="254" t="s">
        <v>6</v>
      </c>
      <c r="G10" s="254" t="s">
        <v>5</v>
      </c>
      <c r="H10" s="84" t="s">
        <v>6</v>
      </c>
      <c r="I10" s="84" t="s">
        <v>7</v>
      </c>
      <c r="J10" s="84" t="s">
        <v>7</v>
      </c>
    </row>
    <row r="11" spans="1:13" ht="26.1" customHeight="1" x14ac:dyDescent="0.2">
      <c r="A11" s="89" t="s">
        <v>280</v>
      </c>
      <c r="B11" s="231"/>
      <c r="C11" s="76" t="s">
        <v>1164</v>
      </c>
      <c r="D11" s="186" t="s">
        <v>1174</v>
      </c>
      <c r="E11" s="200" t="s">
        <v>1185</v>
      </c>
      <c r="F11" s="181" t="s">
        <v>1174</v>
      </c>
      <c r="G11" s="229" t="s">
        <v>1184</v>
      </c>
      <c r="H11" s="167" t="s">
        <v>1201</v>
      </c>
      <c r="I11" s="146">
        <f>DATE(2022,5,16+30)</f>
        <v>44727</v>
      </c>
      <c r="J11" s="147">
        <f>I11+7</f>
        <v>44734</v>
      </c>
      <c r="K11" s="204"/>
      <c r="M11" s="255"/>
    </row>
    <row r="12" spans="1:13" ht="26.1" customHeight="1" x14ac:dyDescent="0.2">
      <c r="A12" s="170" t="s">
        <v>782</v>
      </c>
      <c r="B12" s="172"/>
      <c r="C12" s="173" t="s">
        <v>1165</v>
      </c>
      <c r="D12" s="145" t="s">
        <v>1175</v>
      </c>
      <c r="E12" s="232" t="s">
        <v>1186</v>
      </c>
      <c r="F12" s="226" t="s">
        <v>1195</v>
      </c>
      <c r="G12" s="229" t="s">
        <v>1186</v>
      </c>
      <c r="H12" s="167" t="s">
        <v>1190</v>
      </c>
      <c r="I12" s="146">
        <f>DATE(2022,5,20+30)</f>
        <v>44731</v>
      </c>
      <c r="J12" s="147">
        <f t="shared" ref="J12:J20" si="0">I12+7</f>
        <v>44738</v>
      </c>
      <c r="K12" s="204"/>
      <c r="M12" s="255"/>
    </row>
    <row r="13" spans="1:13" ht="26.1" customHeight="1" x14ac:dyDescent="0.2">
      <c r="A13" s="170" t="s">
        <v>279</v>
      </c>
      <c r="B13" s="172"/>
      <c r="C13" s="173" t="s">
        <v>1166</v>
      </c>
      <c r="D13" s="145" t="s">
        <v>1176</v>
      </c>
      <c r="E13" s="232" t="s">
        <v>1187</v>
      </c>
      <c r="F13" s="183" t="s">
        <v>1196</v>
      </c>
      <c r="G13" s="229" t="s">
        <v>1201</v>
      </c>
      <c r="H13" s="167" t="s">
        <v>1204</v>
      </c>
      <c r="I13" s="146">
        <f>DATE(2022,5,22+30)</f>
        <v>44733</v>
      </c>
      <c r="J13" s="147">
        <f t="shared" si="0"/>
        <v>44740</v>
      </c>
      <c r="K13" s="204"/>
      <c r="M13" s="255"/>
    </row>
    <row r="14" spans="1:13" ht="26.1" customHeight="1" x14ac:dyDescent="0.2">
      <c r="A14" s="89" t="s">
        <v>280</v>
      </c>
      <c r="B14" s="231"/>
      <c r="C14" s="76" t="s">
        <v>1167</v>
      </c>
      <c r="D14" s="186" t="s">
        <v>1177</v>
      </c>
      <c r="E14" s="200" t="s">
        <v>1188</v>
      </c>
      <c r="F14" s="181" t="s">
        <v>1177</v>
      </c>
      <c r="G14" s="229" t="s">
        <v>1188</v>
      </c>
      <c r="H14" s="167" t="s">
        <v>1202</v>
      </c>
      <c r="I14" s="146">
        <f>DATE(2022,5,23+30)</f>
        <v>44734</v>
      </c>
      <c r="J14" s="147">
        <f t="shared" si="0"/>
        <v>44741</v>
      </c>
      <c r="K14" s="204"/>
      <c r="M14" s="255"/>
    </row>
    <row r="15" spans="1:13" ht="25.5" customHeight="1" x14ac:dyDescent="0.2">
      <c r="A15" s="170" t="s">
        <v>782</v>
      </c>
      <c r="B15" s="172"/>
      <c r="C15" s="173" t="s">
        <v>1168</v>
      </c>
      <c r="D15" s="145" t="s">
        <v>1178</v>
      </c>
      <c r="E15" s="235" t="s">
        <v>1189</v>
      </c>
      <c r="F15" s="181" t="s">
        <v>1197</v>
      </c>
      <c r="G15" s="229" t="s">
        <v>1189</v>
      </c>
      <c r="H15" s="145" t="s">
        <v>1193</v>
      </c>
      <c r="I15" s="146">
        <f>DATE(2022,5,27+30)</f>
        <v>44738</v>
      </c>
      <c r="J15" s="147">
        <f t="shared" si="0"/>
        <v>44745</v>
      </c>
      <c r="K15" s="204"/>
      <c r="M15" s="255"/>
    </row>
    <row r="16" spans="1:13" ht="25.5" customHeight="1" x14ac:dyDescent="0.2">
      <c r="A16" s="170" t="s">
        <v>279</v>
      </c>
      <c r="B16" s="231"/>
      <c r="C16" s="76" t="s">
        <v>1169</v>
      </c>
      <c r="D16" s="145" t="s">
        <v>1179</v>
      </c>
      <c r="E16" s="200" t="s">
        <v>1190</v>
      </c>
      <c r="F16" s="182" t="s">
        <v>1198</v>
      </c>
      <c r="G16" s="229" t="s">
        <v>1202</v>
      </c>
      <c r="H16" s="236" t="s">
        <v>1205</v>
      </c>
      <c r="I16" s="146">
        <f>DATE(2022,5,29+30)</f>
        <v>44740</v>
      </c>
      <c r="J16" s="147">
        <f t="shared" si="0"/>
        <v>44747</v>
      </c>
      <c r="K16" s="204"/>
      <c r="M16" s="255"/>
    </row>
    <row r="17" spans="1:28" ht="25.5" customHeight="1" x14ac:dyDescent="0.2">
      <c r="A17" s="89" t="s">
        <v>280</v>
      </c>
      <c r="B17" s="172"/>
      <c r="C17" s="173" t="s">
        <v>1170</v>
      </c>
      <c r="D17" s="145" t="s">
        <v>1180</v>
      </c>
      <c r="E17" s="235" t="s">
        <v>1191</v>
      </c>
      <c r="F17" s="181" t="s">
        <v>1180</v>
      </c>
      <c r="G17" s="229" t="s">
        <v>1191</v>
      </c>
      <c r="H17" s="237" t="s">
        <v>1203</v>
      </c>
      <c r="I17" s="146">
        <f>DATE(2022,5,30+30)</f>
        <v>44741</v>
      </c>
      <c r="J17" s="147">
        <f t="shared" si="0"/>
        <v>44748</v>
      </c>
      <c r="K17" s="204"/>
      <c r="M17" s="255"/>
    </row>
    <row r="18" spans="1:28" ht="25.5" customHeight="1" x14ac:dyDescent="0.2">
      <c r="A18" s="170" t="s">
        <v>782</v>
      </c>
      <c r="B18" s="172"/>
      <c r="C18" s="173" t="s">
        <v>1171</v>
      </c>
      <c r="D18" s="145" t="s">
        <v>1181</v>
      </c>
      <c r="E18" s="235" t="s">
        <v>1192</v>
      </c>
      <c r="F18" s="181" t="s">
        <v>1199</v>
      </c>
      <c r="G18" s="229" t="s">
        <v>1192</v>
      </c>
      <c r="H18" s="237" t="s">
        <v>1206</v>
      </c>
      <c r="I18" s="146">
        <f>DATE(2022,6,3+30)</f>
        <v>44745</v>
      </c>
      <c r="J18" s="147">
        <f t="shared" si="0"/>
        <v>44752</v>
      </c>
      <c r="K18" s="204"/>
      <c r="M18" s="255"/>
    </row>
    <row r="19" spans="1:28" ht="25.5" customHeight="1" x14ac:dyDescent="0.2">
      <c r="A19" s="170" t="s">
        <v>279</v>
      </c>
      <c r="B19" s="172"/>
      <c r="C19" s="173" t="s">
        <v>1172</v>
      </c>
      <c r="D19" s="145" t="s">
        <v>1182</v>
      </c>
      <c r="E19" s="235" t="s">
        <v>1193</v>
      </c>
      <c r="F19" s="181" t="s">
        <v>1200</v>
      </c>
      <c r="G19" s="229" t="s">
        <v>1203</v>
      </c>
      <c r="H19" s="237" t="s">
        <v>1207</v>
      </c>
      <c r="I19" s="146">
        <f>DATE(2022,6,5+30)</f>
        <v>44747</v>
      </c>
      <c r="J19" s="147">
        <f t="shared" si="0"/>
        <v>44754</v>
      </c>
      <c r="K19" s="204"/>
      <c r="M19" s="255"/>
    </row>
    <row r="20" spans="1:28" ht="25.5" customHeight="1" x14ac:dyDescent="0.2">
      <c r="A20" s="89" t="s">
        <v>280</v>
      </c>
      <c r="B20" s="172"/>
      <c r="C20" s="173" t="s">
        <v>1173</v>
      </c>
      <c r="D20" s="145" t="s">
        <v>1183</v>
      </c>
      <c r="E20" s="235" t="s">
        <v>1194</v>
      </c>
      <c r="F20" s="181" t="s">
        <v>1183</v>
      </c>
      <c r="G20" s="229" t="s">
        <v>1194</v>
      </c>
      <c r="H20" s="237" t="s">
        <v>1208</v>
      </c>
      <c r="I20" s="146">
        <f>DATE(2022,6,6+30)</f>
        <v>44748</v>
      </c>
      <c r="J20" s="147">
        <f t="shared" si="0"/>
        <v>44755</v>
      </c>
      <c r="K20" s="204"/>
      <c r="M20" s="255"/>
    </row>
    <row r="21" spans="1:28" ht="25.5" customHeight="1" x14ac:dyDescent="0.2">
      <c r="A21" s="170"/>
      <c r="B21" s="172"/>
      <c r="C21" s="173"/>
      <c r="D21" s="145"/>
      <c r="E21" s="235"/>
      <c r="F21" s="181"/>
      <c r="G21" s="229"/>
      <c r="H21" s="237"/>
      <c r="I21" s="146"/>
      <c r="J21" s="147"/>
      <c r="K21" s="204"/>
      <c r="M21" s="255"/>
    </row>
    <row r="22" spans="1:28" ht="25.5" customHeight="1" x14ac:dyDescent="0.2">
      <c r="A22" s="170"/>
      <c r="B22" s="172"/>
      <c r="C22" s="173"/>
      <c r="D22" s="145"/>
      <c r="E22" s="235"/>
      <c r="F22" s="181"/>
      <c r="G22" s="229"/>
      <c r="H22" s="237"/>
      <c r="I22" s="146"/>
      <c r="J22" s="147"/>
      <c r="K22" s="204"/>
      <c r="M22" s="255"/>
    </row>
    <row r="23" spans="1:28" ht="25.5" customHeight="1" x14ac:dyDescent="0.2">
      <c r="A23" s="89"/>
      <c r="B23" s="172"/>
      <c r="C23" s="173"/>
      <c r="D23" s="145"/>
      <c r="E23" s="235"/>
      <c r="F23" s="181"/>
      <c r="G23" s="229"/>
      <c r="H23" s="237"/>
      <c r="I23" s="146"/>
      <c r="J23" s="147"/>
      <c r="K23" s="204"/>
      <c r="M23" s="255"/>
    </row>
    <row r="24" spans="1:28" ht="25.5" customHeight="1" x14ac:dyDescent="0.2">
      <c r="A24" s="170"/>
      <c r="B24" s="224"/>
      <c r="C24" s="225"/>
      <c r="D24" s="186"/>
      <c r="E24" s="205"/>
      <c r="F24" s="226"/>
      <c r="G24" s="229"/>
      <c r="H24" s="237"/>
      <c r="I24" s="146"/>
      <c r="J24" s="147"/>
      <c r="K24" s="204"/>
      <c r="M24" s="255"/>
    </row>
    <row r="25" spans="1:28" ht="24.75" customHeight="1" x14ac:dyDescent="0.2">
      <c r="A25" s="170"/>
      <c r="B25" s="172"/>
      <c r="C25" s="173"/>
      <c r="D25" s="181"/>
      <c r="E25" s="181"/>
      <c r="F25" s="181"/>
      <c r="G25" s="181"/>
      <c r="H25" s="145"/>
      <c r="I25" s="146"/>
      <c r="J25" s="147"/>
      <c r="K25" s="204"/>
      <c r="M25" s="255"/>
    </row>
    <row r="26" spans="1:28" ht="13.5" customHeight="1" x14ac:dyDescent="0.2">
      <c r="A26" s="67"/>
      <c r="B26" s="18"/>
      <c r="G26" s="90"/>
      <c r="H26" s="54"/>
      <c r="I26" s="54"/>
      <c r="J26" s="54"/>
      <c r="K26" s="204"/>
    </row>
    <row r="27" spans="1:28" ht="26.25" customHeight="1" x14ac:dyDescent="0.2">
      <c r="A27" s="15"/>
      <c r="B27" s="209" t="s">
        <v>77</v>
      </c>
      <c r="C27" s="91" t="s">
        <v>78</v>
      </c>
      <c r="E27" s="92"/>
      <c r="F27" s="208" t="s">
        <v>82</v>
      </c>
      <c r="G27" s="115" t="s">
        <v>87</v>
      </c>
      <c r="H27" s="108"/>
      <c r="I27" s="54"/>
      <c r="J27" s="108"/>
      <c r="K27" s="108"/>
    </row>
    <row r="28" spans="1:28" s="2" customFormat="1" ht="26.25" customHeight="1" x14ac:dyDescent="0.2">
      <c r="A28" s="93"/>
      <c r="B28" s="93"/>
      <c r="C28" s="91" t="s">
        <v>79</v>
      </c>
      <c r="D28" s="203"/>
      <c r="E28" s="92"/>
      <c r="F28" s="10"/>
      <c r="G28" s="10" t="s">
        <v>89</v>
      </c>
      <c r="H28" s="108"/>
      <c r="I28" s="10"/>
      <c r="J28" s="108"/>
      <c r="K28" s="108"/>
      <c r="L28" s="203"/>
    </row>
    <row r="29" spans="1:28" s="33" customFormat="1" ht="26.25" customHeight="1" x14ac:dyDescent="0.2">
      <c r="A29" s="94"/>
      <c r="B29" s="94"/>
      <c r="C29" s="15" t="s">
        <v>80</v>
      </c>
      <c r="D29" s="203"/>
      <c r="E29" s="92"/>
      <c r="F29" s="10"/>
      <c r="G29" s="116" t="s">
        <v>90</v>
      </c>
      <c r="H29" s="15"/>
      <c r="I29" s="109"/>
      <c r="J29" s="15"/>
      <c r="K29" s="15"/>
      <c r="L29" s="203"/>
      <c r="M29" s="203"/>
      <c r="N29" s="203"/>
      <c r="O29" s="203"/>
      <c r="P29" s="203"/>
      <c r="Q29" s="203"/>
      <c r="R29" s="15"/>
      <c r="S29" s="15"/>
      <c r="T29" s="15"/>
      <c r="U29" s="203"/>
      <c r="V29" s="203"/>
      <c r="W29" s="203"/>
      <c r="X29" s="203"/>
      <c r="Y29" s="203"/>
      <c r="Z29" s="203"/>
      <c r="AA29" s="90"/>
      <c r="AB29" s="90"/>
    </row>
    <row r="30" spans="1:28" s="33" customFormat="1" ht="26.25" customHeight="1" x14ac:dyDescent="0.2">
      <c r="A30" s="15"/>
      <c r="B30" s="15"/>
      <c r="C30" s="15" t="s">
        <v>81</v>
      </c>
      <c r="D30" s="96"/>
      <c r="E30" s="203"/>
      <c r="F30" s="10"/>
      <c r="G30" s="15" t="s">
        <v>91</v>
      </c>
      <c r="H30" s="15"/>
      <c r="I30" s="109"/>
      <c r="J30" s="15"/>
      <c r="K30" s="15"/>
      <c r="L30" s="5"/>
      <c r="M30" s="203"/>
      <c r="N30" s="91"/>
      <c r="O30" s="203"/>
      <c r="P30" s="203"/>
      <c r="Q30" s="203"/>
      <c r="R30" s="15"/>
      <c r="S30" s="15"/>
      <c r="T30" s="15"/>
      <c r="U30" s="91"/>
      <c r="V30" s="203"/>
      <c r="W30" s="203"/>
      <c r="X30" s="203"/>
      <c r="Y30" s="92"/>
      <c r="Z30" s="1"/>
      <c r="AA30" s="90"/>
      <c r="AB30" s="90"/>
    </row>
    <row r="31" spans="1:28" s="33" customFormat="1" ht="12.7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19"/>
      <c r="M31" s="203"/>
      <c r="N31" s="10"/>
      <c r="O31" s="203"/>
      <c r="P31" s="203"/>
      <c r="Q31" s="203"/>
      <c r="R31" s="15"/>
      <c r="S31" s="93"/>
      <c r="T31" s="93"/>
      <c r="U31" s="91"/>
      <c r="V31" s="203"/>
      <c r="W31" s="203"/>
      <c r="X31" s="203"/>
      <c r="Y31" s="92"/>
      <c r="Z31" s="203"/>
      <c r="AA31" s="90"/>
      <c r="AB31" s="90"/>
    </row>
    <row r="32" spans="1:28" s="33" customFormat="1" ht="26.25" customHeight="1" x14ac:dyDescent="0.2">
      <c r="A32" s="42" t="s">
        <v>1</v>
      </c>
      <c r="B32" s="43"/>
      <c r="C32" s="44"/>
      <c r="D32" s="45"/>
      <c r="E32" s="51"/>
      <c r="F32" s="20"/>
      <c r="G32" s="20"/>
      <c r="H32" s="20"/>
      <c r="I32" s="14"/>
      <c r="J32" s="15"/>
      <c r="K32" s="203"/>
      <c r="L32" s="203"/>
      <c r="M32" s="203"/>
      <c r="N32" s="10"/>
      <c r="O32" s="203"/>
      <c r="P32" s="203"/>
      <c r="Q32" s="203"/>
      <c r="R32" s="203"/>
      <c r="S32" s="94"/>
      <c r="T32" s="94"/>
      <c r="U32" s="15"/>
      <c r="V32" s="203"/>
      <c r="W32" s="203"/>
      <c r="X32" s="203"/>
      <c r="Y32" s="92"/>
      <c r="Z32" s="4"/>
      <c r="AA32" s="32"/>
      <c r="AB32" s="32"/>
    </row>
    <row r="33" spans="1:28" s="59" customFormat="1" ht="26.25" customHeight="1" x14ac:dyDescent="0.2">
      <c r="A33" s="106" t="s">
        <v>18</v>
      </c>
      <c r="B33" s="2"/>
      <c r="C33" s="2"/>
      <c r="D33" s="46"/>
      <c r="E33" s="189"/>
      <c r="F33" s="2"/>
      <c r="G33" s="2"/>
      <c r="H33" s="2"/>
      <c r="I33" s="15"/>
      <c r="J33" s="15"/>
      <c r="K33" s="203"/>
      <c r="L33" s="203"/>
      <c r="M33" s="203"/>
      <c r="N33" s="203"/>
      <c r="O33" s="203"/>
      <c r="P33" s="203"/>
      <c r="Q33" s="203"/>
      <c r="R33" s="15"/>
      <c r="S33" s="15"/>
      <c r="T33" s="15"/>
      <c r="U33" s="15"/>
      <c r="V33" s="96"/>
      <c r="W33" s="96"/>
      <c r="X33" s="97"/>
      <c r="Y33" s="203"/>
      <c r="Z33" s="1"/>
      <c r="AA33" s="32"/>
      <c r="AB33" s="32"/>
    </row>
    <row r="34" spans="1:28" s="59" customFormat="1" ht="12.75" customHeight="1" x14ac:dyDescent="0.2">
      <c r="A34" s="49"/>
      <c r="B34" s="27"/>
      <c r="C34" s="28"/>
      <c r="D34" s="50" t="s">
        <v>33</v>
      </c>
      <c r="E34" s="190"/>
      <c r="F34" s="2"/>
      <c r="G34" s="2"/>
      <c r="H34" s="2"/>
      <c r="J34" s="15"/>
      <c r="K34" s="203"/>
      <c r="L34" s="203"/>
    </row>
    <row r="35" spans="1:28" s="59" customFormat="1" ht="13.5" customHeight="1" x14ac:dyDescent="0.2">
      <c r="A35" s="62" t="s">
        <v>33</v>
      </c>
      <c r="B35" s="63"/>
      <c r="C35" s="64"/>
      <c r="D35" s="65"/>
      <c r="E35" s="191"/>
      <c r="F35" s="2"/>
      <c r="G35" s="2"/>
      <c r="H35" s="2"/>
      <c r="I35" s="58"/>
      <c r="J35" s="203"/>
    </row>
    <row r="36" spans="1:28" s="59" customFormat="1" ht="11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</row>
    <row r="37" spans="1:28" s="59" customFormat="1" ht="26.25" customHeight="1" x14ac:dyDescent="0.2">
      <c r="A37" s="18" t="s">
        <v>123</v>
      </c>
      <c r="B37" s="56"/>
      <c r="C37" s="22"/>
      <c r="D37" s="60"/>
      <c r="E37" s="60"/>
      <c r="I37" s="58"/>
    </row>
    <row r="38" spans="1:28" s="59" customFormat="1" ht="26.25" customHeight="1" x14ac:dyDescent="0.2">
      <c r="A38" s="58" t="s">
        <v>124</v>
      </c>
      <c r="B38" s="56"/>
      <c r="C38" s="22"/>
      <c r="D38" s="60"/>
      <c r="E38" s="60"/>
      <c r="I38" s="58"/>
    </row>
    <row r="39" spans="1:28" s="59" customFormat="1" ht="26.25" customHeight="1" x14ac:dyDescent="0.2">
      <c r="A39" s="18" t="s">
        <v>125</v>
      </c>
      <c r="B39" s="18"/>
      <c r="C39" s="9"/>
      <c r="D39" s="60"/>
      <c r="E39" s="60"/>
      <c r="I39" s="58"/>
    </row>
    <row r="40" spans="1:28" ht="24.75" customHeight="1" x14ac:dyDescent="0.2">
      <c r="A40" s="18" t="s">
        <v>126</v>
      </c>
      <c r="B40" s="18"/>
      <c r="C40" s="9"/>
      <c r="D40" s="6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C562B735-945E-4D27-A698-C5273EA28E4A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535-3F63-475F-B794-CE0296313DC9}">
  <sheetPr>
    <tabColor theme="6"/>
  </sheetPr>
  <dimension ref="A1:AB40"/>
  <sheetViews>
    <sheetView tabSelected="1" topLeftCell="A19" workbookViewId="0">
      <selection activeCell="J24" sqref="J24"/>
    </sheetView>
  </sheetViews>
  <sheetFormatPr defaultRowHeight="13.5" x14ac:dyDescent="0.15"/>
  <cols>
    <col min="1" max="1" width="18.625" style="203" customWidth="1"/>
    <col min="2" max="2" width="19.625" style="203" customWidth="1"/>
    <col min="3" max="3" width="15.625" style="203" customWidth="1"/>
    <col min="4" max="4" width="22.5" style="203" bestFit="1" customWidth="1"/>
    <col min="5" max="5" width="16.75" style="203" bestFit="1" customWidth="1"/>
    <col min="6" max="6" width="22.125" style="203" bestFit="1" customWidth="1"/>
    <col min="7" max="7" width="18.875" style="203" customWidth="1"/>
    <col min="8" max="8" width="18.5" style="203" customWidth="1"/>
    <col min="9" max="9" width="20.625" style="203" customWidth="1"/>
    <col min="10" max="10" width="26.5" style="203" customWidth="1"/>
    <col min="11" max="11" width="9.375" style="203" hidden="1" customWidth="1"/>
    <col min="12" max="12" width="5.75" style="203" hidden="1" customWidth="1"/>
    <col min="13" max="16384" width="9" style="203"/>
  </cols>
  <sheetData>
    <row r="1" spans="1:13" ht="23.25" customHeight="1" x14ac:dyDescent="0.3">
      <c r="A1" s="267" t="s">
        <v>23</v>
      </c>
      <c r="B1" s="268"/>
      <c r="C1" s="268"/>
      <c r="D1" s="268"/>
      <c r="E1" s="268"/>
      <c r="F1" s="36"/>
      <c r="G1" s="36"/>
      <c r="H1" s="36"/>
      <c r="I1" s="36"/>
      <c r="J1" s="149" t="s">
        <v>277</v>
      </c>
      <c r="K1" s="36"/>
      <c r="L1" s="35" t="s">
        <v>24</v>
      </c>
    </row>
    <row r="2" spans="1:13" ht="23.25" customHeight="1" x14ac:dyDescent="0.3">
      <c r="A2" s="268"/>
      <c r="B2" s="268"/>
      <c r="C2" s="268"/>
      <c r="D2" s="268"/>
      <c r="E2" s="268"/>
      <c r="F2" s="36"/>
      <c r="G2" s="36"/>
      <c r="H2" s="36"/>
      <c r="I2" s="36"/>
      <c r="J2" s="149" t="s">
        <v>433</v>
      </c>
      <c r="K2" s="36"/>
      <c r="L2" s="35" t="s">
        <v>25</v>
      </c>
    </row>
    <row r="3" spans="1:13" ht="23.25" customHeight="1" x14ac:dyDescent="0.15">
      <c r="A3" s="268"/>
      <c r="B3" s="268"/>
      <c r="C3" s="268"/>
      <c r="D3" s="268"/>
      <c r="E3" s="268"/>
      <c r="F3" s="36"/>
      <c r="G3" s="36"/>
      <c r="H3" s="36"/>
      <c r="I3" s="36"/>
      <c r="J3" s="36"/>
      <c r="K3" s="36"/>
      <c r="L3" s="81" t="s">
        <v>26</v>
      </c>
    </row>
    <row r="4" spans="1:13" s="3" customFormat="1" ht="23.25" customHeight="1" x14ac:dyDescent="0.2">
      <c r="A4" s="73" t="s">
        <v>21</v>
      </c>
      <c r="B4" s="37"/>
      <c r="C4" s="37"/>
      <c r="D4" s="37"/>
      <c r="E4" s="37"/>
      <c r="J4" s="249">
        <v>44707</v>
      </c>
      <c r="K4" s="258">
        <v>43681</v>
      </c>
      <c r="L4" s="259"/>
    </row>
    <row r="5" spans="1:13" ht="24" customHeight="1" x14ac:dyDescent="0.2">
      <c r="A5" s="260" t="s">
        <v>1035</v>
      </c>
      <c r="B5" s="260"/>
      <c r="C5" s="260"/>
      <c r="D5" s="58"/>
    </row>
    <row r="6" spans="1:13" s="13" customFormat="1" ht="24" customHeight="1" x14ac:dyDescent="0.2">
      <c r="A6" s="260"/>
      <c r="B6" s="260"/>
      <c r="C6" s="260"/>
      <c r="D6" s="39"/>
      <c r="E6" s="24"/>
      <c r="F6" s="24"/>
      <c r="G6" s="24"/>
      <c r="H6" s="24"/>
      <c r="I6" s="12"/>
      <c r="J6" s="6"/>
      <c r="L6" s="11"/>
    </row>
    <row r="7" spans="1:13" s="13" customFormat="1" ht="22.5" customHeight="1" x14ac:dyDescent="0.3">
      <c r="A7" s="38"/>
      <c r="B7" s="17"/>
      <c r="C7" s="17"/>
      <c r="D7" s="71" t="s">
        <v>33</v>
      </c>
      <c r="E7" s="24"/>
      <c r="F7" s="24"/>
      <c r="G7" s="24"/>
      <c r="H7" s="24"/>
      <c r="I7" s="12"/>
    </row>
    <row r="8" spans="1:13" s="13" customFormat="1" ht="10.5" customHeight="1" thickBot="1" x14ac:dyDescent="0.35">
      <c r="A8" s="57"/>
      <c r="B8" s="17"/>
      <c r="C8" s="17"/>
      <c r="D8" s="31"/>
      <c r="E8" s="24"/>
      <c r="F8" s="24"/>
      <c r="G8" s="24"/>
      <c r="H8" s="24"/>
      <c r="I8" s="12"/>
    </row>
    <row r="9" spans="1:13" s="6" customFormat="1" ht="26.1" customHeight="1" thickBot="1" x14ac:dyDescent="0.2">
      <c r="A9" s="88"/>
      <c r="B9" s="30"/>
      <c r="C9" s="16"/>
      <c r="D9" s="261" t="s">
        <v>51</v>
      </c>
      <c r="E9" s="262"/>
      <c r="F9" s="261" t="s">
        <v>52</v>
      </c>
      <c r="G9" s="262"/>
      <c r="H9" s="100" t="s">
        <v>22</v>
      </c>
      <c r="I9" s="256" t="s">
        <v>8</v>
      </c>
      <c r="J9" s="110" t="s">
        <v>10</v>
      </c>
    </row>
    <row r="10" spans="1:13" s="13" customFormat="1" ht="26.1" customHeight="1" thickBot="1" x14ac:dyDescent="0.2">
      <c r="A10" s="264" t="s">
        <v>0</v>
      </c>
      <c r="B10" s="265"/>
      <c r="C10" s="192" t="s">
        <v>4</v>
      </c>
      <c r="D10" s="257" t="s">
        <v>6</v>
      </c>
      <c r="E10" s="257" t="s">
        <v>5</v>
      </c>
      <c r="F10" s="257" t="s">
        <v>6</v>
      </c>
      <c r="G10" s="257" t="s">
        <v>5</v>
      </c>
      <c r="H10" s="84" t="s">
        <v>6</v>
      </c>
      <c r="I10" s="84" t="s">
        <v>7</v>
      </c>
      <c r="J10" s="84" t="s">
        <v>7</v>
      </c>
    </row>
    <row r="11" spans="1:13" ht="26.1" customHeight="1" x14ac:dyDescent="0.2">
      <c r="A11" s="89" t="s">
        <v>280</v>
      </c>
      <c r="B11" s="231"/>
      <c r="C11" s="76" t="s">
        <v>1209</v>
      </c>
      <c r="D11" s="186" t="s">
        <v>1223</v>
      </c>
      <c r="E11" s="200" t="s">
        <v>1194</v>
      </c>
      <c r="F11" s="181" t="s">
        <v>1183</v>
      </c>
      <c r="G11" s="229" t="s">
        <v>1194</v>
      </c>
      <c r="H11" s="167" t="s">
        <v>1208</v>
      </c>
      <c r="I11" s="146">
        <f>DATE(2022,6,6+30)</f>
        <v>44748</v>
      </c>
      <c r="J11" s="147">
        <f>I11+7</f>
        <v>44755</v>
      </c>
      <c r="K11" s="204"/>
      <c r="M11" s="255"/>
    </row>
    <row r="12" spans="1:13" ht="26.1" customHeight="1" x14ac:dyDescent="0.2">
      <c r="A12" s="170" t="s">
        <v>782</v>
      </c>
      <c r="B12" s="172"/>
      <c r="C12" s="173" t="s">
        <v>1210</v>
      </c>
      <c r="D12" s="145" t="s">
        <v>1224</v>
      </c>
      <c r="E12" s="232" t="s">
        <v>1250</v>
      </c>
      <c r="F12" s="226" t="s">
        <v>1251</v>
      </c>
      <c r="G12" s="229" t="s">
        <v>1250</v>
      </c>
      <c r="H12" s="167" t="s">
        <v>1247</v>
      </c>
      <c r="I12" s="146">
        <f>DATE(2022,6,10+30)</f>
        <v>44752</v>
      </c>
      <c r="J12" s="147">
        <f t="shared" ref="J12:J24" si="0">I12+7</f>
        <v>44759</v>
      </c>
      <c r="K12" s="204"/>
      <c r="M12" s="255"/>
    </row>
    <row r="13" spans="1:13" ht="26.1" customHeight="1" x14ac:dyDescent="0.2">
      <c r="A13" s="170" t="s">
        <v>279</v>
      </c>
      <c r="B13" s="172"/>
      <c r="C13" s="173" t="s">
        <v>1211</v>
      </c>
      <c r="D13" s="145" t="s">
        <v>1225</v>
      </c>
      <c r="E13" s="232" t="s">
        <v>1206</v>
      </c>
      <c r="F13" s="183" t="s">
        <v>1252</v>
      </c>
      <c r="G13" s="229" t="s">
        <v>1208</v>
      </c>
      <c r="H13" s="167" t="s">
        <v>1264</v>
      </c>
      <c r="I13" s="146">
        <f>DATE(2022,6,12+30)</f>
        <v>44754</v>
      </c>
      <c r="J13" s="147">
        <f t="shared" si="0"/>
        <v>44761</v>
      </c>
      <c r="K13" s="204"/>
      <c r="M13" s="255"/>
    </row>
    <row r="14" spans="1:13" ht="26.1" customHeight="1" x14ac:dyDescent="0.2">
      <c r="A14" s="89" t="s">
        <v>280</v>
      </c>
      <c r="B14" s="231"/>
      <c r="C14" s="76" t="s">
        <v>1212</v>
      </c>
      <c r="D14" s="186" t="s">
        <v>1226</v>
      </c>
      <c r="E14" s="200" t="s">
        <v>1249</v>
      </c>
      <c r="F14" s="181" t="s">
        <v>1226</v>
      </c>
      <c r="G14" s="229" t="s">
        <v>1249</v>
      </c>
      <c r="H14" s="167" t="s">
        <v>1262</v>
      </c>
      <c r="I14" s="146">
        <f>DATE(2022,6,13+30)</f>
        <v>44755</v>
      </c>
      <c r="J14" s="147">
        <f t="shared" si="0"/>
        <v>44762</v>
      </c>
      <c r="K14" s="204"/>
      <c r="M14" s="255"/>
    </row>
    <row r="15" spans="1:13" ht="25.5" customHeight="1" x14ac:dyDescent="0.2">
      <c r="A15" s="170" t="s">
        <v>782</v>
      </c>
      <c r="B15" s="172"/>
      <c r="C15" s="173" t="s">
        <v>1213</v>
      </c>
      <c r="D15" s="145" t="s">
        <v>1227</v>
      </c>
      <c r="E15" s="235" t="s">
        <v>1248</v>
      </c>
      <c r="F15" s="181" t="s">
        <v>1253</v>
      </c>
      <c r="G15" s="229" t="s">
        <v>1248</v>
      </c>
      <c r="H15" s="145" t="s">
        <v>1265</v>
      </c>
      <c r="I15" s="146">
        <f>DATE(2022,6,17+30)</f>
        <v>44759</v>
      </c>
      <c r="J15" s="147">
        <f t="shared" si="0"/>
        <v>44766</v>
      </c>
      <c r="K15" s="204"/>
      <c r="M15" s="255"/>
    </row>
    <row r="16" spans="1:13" ht="25.5" customHeight="1" x14ac:dyDescent="0.2">
      <c r="A16" s="170" t="s">
        <v>279</v>
      </c>
      <c r="B16" s="231"/>
      <c r="C16" s="76" t="s">
        <v>1214</v>
      </c>
      <c r="D16" s="145" t="s">
        <v>1228</v>
      </c>
      <c r="E16" s="200" t="s">
        <v>1247</v>
      </c>
      <c r="F16" s="182" t="s">
        <v>1254</v>
      </c>
      <c r="G16" s="229" t="s">
        <v>1263</v>
      </c>
      <c r="H16" s="236" t="s">
        <v>1266</v>
      </c>
      <c r="I16" s="146">
        <f>DATE(2022,6,19+30)</f>
        <v>44761</v>
      </c>
      <c r="J16" s="147">
        <f t="shared" si="0"/>
        <v>44768</v>
      </c>
      <c r="K16" s="204"/>
      <c r="M16" s="255"/>
    </row>
    <row r="17" spans="1:28" ht="25.5" customHeight="1" x14ac:dyDescent="0.2">
      <c r="A17" s="89" t="s">
        <v>280</v>
      </c>
      <c r="B17" s="172"/>
      <c r="C17" s="173" t="s">
        <v>1215</v>
      </c>
      <c r="D17" s="145" t="s">
        <v>1229</v>
      </c>
      <c r="E17" s="235" t="s">
        <v>1246</v>
      </c>
      <c r="F17" s="181" t="s">
        <v>1229</v>
      </c>
      <c r="G17" s="229" t="s">
        <v>1245</v>
      </c>
      <c r="H17" s="237" t="s">
        <v>1261</v>
      </c>
      <c r="I17" s="146">
        <f>DATE(2022,6,20+30)</f>
        <v>44762</v>
      </c>
      <c r="J17" s="147">
        <f t="shared" si="0"/>
        <v>44769</v>
      </c>
      <c r="K17" s="204"/>
      <c r="M17" s="255"/>
    </row>
    <row r="18" spans="1:28" ht="25.5" customHeight="1" x14ac:dyDescent="0.2">
      <c r="A18" s="170" t="s">
        <v>782</v>
      </c>
      <c r="B18" s="172"/>
      <c r="C18" s="173" t="s">
        <v>1216</v>
      </c>
      <c r="D18" s="145" t="s">
        <v>1230</v>
      </c>
      <c r="E18" s="235" t="s">
        <v>1244</v>
      </c>
      <c r="F18" s="181" t="s">
        <v>1255</v>
      </c>
      <c r="G18" s="229" t="s">
        <v>1244</v>
      </c>
      <c r="H18" s="237" t="s">
        <v>1239</v>
      </c>
      <c r="I18" s="146">
        <f>DATE(2022,6,24+30)</f>
        <v>44766</v>
      </c>
      <c r="J18" s="147">
        <f t="shared" si="0"/>
        <v>44773</v>
      </c>
      <c r="K18" s="204"/>
      <c r="M18" s="255"/>
    </row>
    <row r="19" spans="1:28" ht="25.5" customHeight="1" x14ac:dyDescent="0.2">
      <c r="A19" s="170" t="s">
        <v>279</v>
      </c>
      <c r="B19" s="172"/>
      <c r="C19" s="173" t="s">
        <v>1217</v>
      </c>
      <c r="D19" s="145" t="s">
        <v>1231</v>
      </c>
      <c r="E19" s="235" t="s">
        <v>1243</v>
      </c>
      <c r="F19" s="181" t="s">
        <v>1256</v>
      </c>
      <c r="G19" s="229" t="s">
        <v>1261</v>
      </c>
      <c r="H19" s="237" t="s">
        <v>1267</v>
      </c>
      <c r="I19" s="146">
        <f>DATE(2022,6,26+30)</f>
        <v>44768</v>
      </c>
      <c r="J19" s="147">
        <f t="shared" si="0"/>
        <v>44775</v>
      </c>
      <c r="K19" s="204"/>
      <c r="M19" s="255"/>
    </row>
    <row r="20" spans="1:28" ht="25.5" customHeight="1" x14ac:dyDescent="0.2">
      <c r="A20" s="89" t="s">
        <v>280</v>
      </c>
      <c r="B20" s="172"/>
      <c r="C20" s="173" t="s">
        <v>1218</v>
      </c>
      <c r="D20" s="145" t="s">
        <v>1232</v>
      </c>
      <c r="E20" s="235" t="s">
        <v>1242</v>
      </c>
      <c r="F20" s="181" t="s">
        <v>1232</v>
      </c>
      <c r="G20" s="229" t="s">
        <v>1241</v>
      </c>
      <c r="H20" s="237" t="s">
        <v>1260</v>
      </c>
      <c r="I20" s="146">
        <f>DATE(2022,6,27+30)</f>
        <v>44769</v>
      </c>
      <c r="J20" s="147">
        <f t="shared" si="0"/>
        <v>44776</v>
      </c>
      <c r="K20" s="204"/>
      <c r="M20" s="255"/>
    </row>
    <row r="21" spans="1:28" ht="25.5" customHeight="1" x14ac:dyDescent="0.2">
      <c r="A21" s="170" t="s">
        <v>782</v>
      </c>
      <c r="B21" s="172"/>
      <c r="C21" s="173" t="s">
        <v>1219</v>
      </c>
      <c r="D21" s="145" t="s">
        <v>1233</v>
      </c>
      <c r="E21" s="235" t="s">
        <v>1240</v>
      </c>
      <c r="F21" s="181" t="s">
        <v>1257</v>
      </c>
      <c r="G21" s="229" t="s">
        <v>1240</v>
      </c>
      <c r="H21" s="237" t="s">
        <v>1268</v>
      </c>
      <c r="I21" s="146">
        <f>DATE(2022,7,1+30)</f>
        <v>44773</v>
      </c>
      <c r="J21" s="147">
        <f t="shared" si="0"/>
        <v>44780</v>
      </c>
      <c r="K21" s="204"/>
      <c r="M21" s="255"/>
    </row>
    <row r="22" spans="1:28" ht="25.5" customHeight="1" x14ac:dyDescent="0.2">
      <c r="A22" s="170" t="s">
        <v>279</v>
      </c>
      <c r="B22" s="172"/>
      <c r="C22" s="173" t="s">
        <v>1220</v>
      </c>
      <c r="D22" s="145" t="s">
        <v>1234</v>
      </c>
      <c r="E22" s="235" t="s">
        <v>1239</v>
      </c>
      <c r="F22" s="181" t="s">
        <v>1258</v>
      </c>
      <c r="G22" s="229" t="s">
        <v>1260</v>
      </c>
      <c r="H22" s="237" t="s">
        <v>1269</v>
      </c>
      <c r="I22" s="146">
        <f>DATE(2022,7,3+30)</f>
        <v>44775</v>
      </c>
      <c r="J22" s="147">
        <f t="shared" si="0"/>
        <v>44782</v>
      </c>
      <c r="K22" s="204"/>
      <c r="M22" s="255"/>
    </row>
    <row r="23" spans="1:28" ht="25.5" customHeight="1" x14ac:dyDescent="0.2">
      <c r="A23" s="89" t="s">
        <v>280</v>
      </c>
      <c r="B23" s="172"/>
      <c r="C23" s="173" t="s">
        <v>1221</v>
      </c>
      <c r="D23" s="145" t="s">
        <v>1235</v>
      </c>
      <c r="E23" s="235" t="s">
        <v>1238</v>
      </c>
      <c r="F23" s="181" t="s">
        <v>1235</v>
      </c>
      <c r="G23" s="229" t="s">
        <v>1238</v>
      </c>
      <c r="H23" s="237" t="s">
        <v>1270</v>
      </c>
      <c r="I23" s="146">
        <f>DATE(2022,7,4+30)</f>
        <v>44776</v>
      </c>
      <c r="J23" s="147">
        <f t="shared" si="0"/>
        <v>44783</v>
      </c>
      <c r="K23" s="204"/>
      <c r="M23" s="255"/>
    </row>
    <row r="24" spans="1:28" ht="25.5" customHeight="1" x14ac:dyDescent="0.2">
      <c r="A24" s="170" t="s">
        <v>782</v>
      </c>
      <c r="B24" s="224"/>
      <c r="C24" s="225" t="s">
        <v>1222</v>
      </c>
      <c r="D24" s="186" t="s">
        <v>1236</v>
      </c>
      <c r="E24" s="205" t="s">
        <v>1237</v>
      </c>
      <c r="F24" s="226" t="s">
        <v>1259</v>
      </c>
      <c r="G24" s="229" t="s">
        <v>1237</v>
      </c>
      <c r="H24" s="237" t="s">
        <v>1271</v>
      </c>
      <c r="I24" s="146">
        <f>DATE(2022,7,8+30)</f>
        <v>44780</v>
      </c>
      <c r="J24" s="147">
        <f t="shared" si="0"/>
        <v>44787</v>
      </c>
      <c r="K24" s="204"/>
      <c r="M24" s="255"/>
    </row>
    <row r="25" spans="1:28" ht="24.75" customHeight="1" x14ac:dyDescent="0.2">
      <c r="A25" s="170"/>
      <c r="B25" s="172"/>
      <c r="C25" s="173"/>
      <c r="D25" s="181"/>
      <c r="E25" s="181"/>
      <c r="F25" s="181"/>
      <c r="G25" s="181"/>
      <c r="H25" s="145"/>
      <c r="I25" s="146"/>
      <c r="J25" s="147"/>
      <c r="K25" s="204"/>
      <c r="M25" s="255"/>
    </row>
    <row r="26" spans="1:28" ht="13.5" customHeight="1" x14ac:dyDescent="0.2">
      <c r="A26" s="67"/>
      <c r="B26" s="18"/>
      <c r="G26" s="90"/>
      <c r="H26" s="54"/>
      <c r="I26" s="54"/>
      <c r="J26" s="54"/>
      <c r="K26" s="204"/>
    </row>
    <row r="27" spans="1:28" ht="26.25" customHeight="1" x14ac:dyDescent="0.2">
      <c r="A27" s="15"/>
      <c r="B27" s="209" t="s">
        <v>77</v>
      </c>
      <c r="C27" s="91" t="s">
        <v>78</v>
      </c>
      <c r="E27" s="92"/>
      <c r="F27" s="208" t="s">
        <v>82</v>
      </c>
      <c r="G27" s="115" t="s">
        <v>87</v>
      </c>
      <c r="H27" s="108"/>
      <c r="I27" s="54"/>
      <c r="J27" s="108"/>
      <c r="K27" s="108"/>
    </row>
    <row r="28" spans="1:28" s="2" customFormat="1" ht="26.25" customHeight="1" x14ac:dyDescent="0.2">
      <c r="A28" s="93"/>
      <c r="B28" s="93"/>
      <c r="C28" s="91" t="s">
        <v>79</v>
      </c>
      <c r="D28" s="203"/>
      <c r="E28" s="92"/>
      <c r="F28" s="10"/>
      <c r="G28" s="10" t="s">
        <v>89</v>
      </c>
      <c r="H28" s="108"/>
      <c r="I28" s="10"/>
      <c r="J28" s="108"/>
      <c r="K28" s="108"/>
      <c r="L28" s="203"/>
    </row>
    <row r="29" spans="1:28" s="33" customFormat="1" ht="26.25" customHeight="1" x14ac:dyDescent="0.2">
      <c r="A29" s="94"/>
      <c r="B29" s="94"/>
      <c r="C29" s="15" t="s">
        <v>80</v>
      </c>
      <c r="D29" s="203"/>
      <c r="E29" s="92"/>
      <c r="F29" s="10"/>
      <c r="G29" s="116" t="s">
        <v>90</v>
      </c>
      <c r="H29" s="15"/>
      <c r="I29" s="109"/>
      <c r="J29" s="15"/>
      <c r="K29" s="15"/>
      <c r="L29" s="203"/>
      <c r="M29" s="203"/>
      <c r="N29" s="203"/>
      <c r="O29" s="203"/>
      <c r="P29" s="203"/>
      <c r="Q29" s="203"/>
      <c r="R29" s="15"/>
      <c r="S29" s="15"/>
      <c r="T29" s="15"/>
      <c r="U29" s="203"/>
      <c r="V29" s="203"/>
      <c r="W29" s="203"/>
      <c r="X29" s="203"/>
      <c r="Y29" s="203"/>
      <c r="Z29" s="203"/>
      <c r="AA29" s="90"/>
      <c r="AB29" s="90"/>
    </row>
    <row r="30" spans="1:28" s="33" customFormat="1" ht="26.25" customHeight="1" x14ac:dyDescent="0.2">
      <c r="A30" s="15"/>
      <c r="B30" s="15"/>
      <c r="C30" s="15" t="s">
        <v>81</v>
      </c>
      <c r="D30" s="96"/>
      <c r="E30" s="203"/>
      <c r="F30" s="10"/>
      <c r="G30" s="15" t="s">
        <v>91</v>
      </c>
      <c r="H30" s="15"/>
      <c r="I30" s="109"/>
      <c r="J30" s="15"/>
      <c r="K30" s="15"/>
      <c r="L30" s="5"/>
      <c r="M30" s="203"/>
      <c r="N30" s="91"/>
      <c r="O30" s="203"/>
      <c r="P30" s="203"/>
      <c r="Q30" s="203"/>
      <c r="R30" s="15"/>
      <c r="S30" s="15"/>
      <c r="T30" s="15"/>
      <c r="U30" s="91"/>
      <c r="V30" s="203"/>
      <c r="W30" s="203"/>
      <c r="X30" s="203"/>
      <c r="Y30" s="92"/>
      <c r="Z30" s="1"/>
      <c r="AA30" s="90"/>
      <c r="AB30" s="90"/>
    </row>
    <row r="31" spans="1:28" s="33" customFormat="1" ht="12.75" customHeight="1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19"/>
      <c r="M31" s="203"/>
      <c r="N31" s="10"/>
      <c r="O31" s="203"/>
      <c r="P31" s="203"/>
      <c r="Q31" s="203"/>
      <c r="R31" s="15"/>
      <c r="S31" s="93"/>
      <c r="T31" s="93"/>
      <c r="U31" s="91"/>
      <c r="V31" s="203"/>
      <c r="W31" s="203"/>
      <c r="X31" s="203"/>
      <c r="Y31" s="92"/>
      <c r="Z31" s="203"/>
      <c r="AA31" s="90"/>
      <c r="AB31" s="90"/>
    </row>
    <row r="32" spans="1:28" s="33" customFormat="1" ht="26.25" customHeight="1" x14ac:dyDescent="0.2">
      <c r="A32" s="42" t="s">
        <v>1</v>
      </c>
      <c r="B32" s="43"/>
      <c r="C32" s="44"/>
      <c r="D32" s="45"/>
      <c r="E32" s="51"/>
      <c r="F32" s="20"/>
      <c r="G32" s="20"/>
      <c r="H32" s="20"/>
      <c r="I32" s="14"/>
      <c r="J32" s="15"/>
      <c r="K32" s="203"/>
      <c r="L32" s="203"/>
      <c r="M32" s="203"/>
      <c r="N32" s="10"/>
      <c r="O32" s="203"/>
      <c r="P32" s="203"/>
      <c r="Q32" s="203"/>
      <c r="R32" s="203"/>
      <c r="S32" s="94"/>
      <c r="T32" s="94"/>
      <c r="U32" s="15"/>
      <c r="V32" s="203"/>
      <c r="W32" s="203"/>
      <c r="X32" s="203"/>
      <c r="Y32" s="92"/>
      <c r="Z32" s="4"/>
      <c r="AA32" s="32"/>
      <c r="AB32" s="32"/>
    </row>
    <row r="33" spans="1:28" s="59" customFormat="1" ht="26.25" customHeight="1" x14ac:dyDescent="0.2">
      <c r="A33" s="106" t="s">
        <v>18</v>
      </c>
      <c r="B33" s="2"/>
      <c r="C33" s="2"/>
      <c r="D33" s="46"/>
      <c r="E33" s="189"/>
      <c r="F33" s="2"/>
      <c r="G33" s="2"/>
      <c r="H33" s="2"/>
      <c r="I33" s="15"/>
      <c r="J33" s="15"/>
      <c r="K33" s="203"/>
      <c r="L33" s="203"/>
      <c r="M33" s="203"/>
      <c r="N33" s="203"/>
      <c r="O33" s="203"/>
      <c r="P33" s="203"/>
      <c r="Q33" s="203"/>
      <c r="R33" s="15"/>
      <c r="S33" s="15"/>
      <c r="T33" s="15"/>
      <c r="U33" s="15"/>
      <c r="V33" s="96"/>
      <c r="W33" s="96"/>
      <c r="X33" s="97"/>
      <c r="Y33" s="203"/>
      <c r="Z33" s="1"/>
      <c r="AA33" s="32"/>
      <c r="AB33" s="32"/>
    </row>
    <row r="34" spans="1:28" s="59" customFormat="1" ht="12.75" customHeight="1" x14ac:dyDescent="0.2">
      <c r="A34" s="49"/>
      <c r="B34" s="27"/>
      <c r="C34" s="28"/>
      <c r="D34" s="50" t="s">
        <v>33</v>
      </c>
      <c r="E34" s="190"/>
      <c r="F34" s="2"/>
      <c r="G34" s="2"/>
      <c r="H34" s="2"/>
      <c r="J34" s="15"/>
      <c r="K34" s="203"/>
      <c r="L34" s="203"/>
    </row>
    <row r="35" spans="1:28" s="59" customFormat="1" ht="13.5" customHeight="1" x14ac:dyDescent="0.2">
      <c r="A35" s="62" t="s">
        <v>33</v>
      </c>
      <c r="B35" s="63"/>
      <c r="C35" s="64"/>
      <c r="D35" s="65"/>
      <c r="E35" s="191"/>
      <c r="F35" s="2"/>
      <c r="G35" s="2"/>
      <c r="H35" s="2"/>
      <c r="I35" s="58"/>
      <c r="J35" s="203"/>
    </row>
    <row r="36" spans="1:28" s="59" customFormat="1" ht="11.25" customHeight="1" x14ac:dyDescent="0.2">
      <c r="A36" s="18"/>
      <c r="B36" s="56"/>
      <c r="C36" s="22"/>
      <c r="D36" s="60"/>
      <c r="E36" s="60"/>
      <c r="F36" s="40"/>
      <c r="G36" s="40"/>
      <c r="H36" s="40"/>
      <c r="I36" s="60"/>
    </row>
    <row r="37" spans="1:28" s="59" customFormat="1" ht="26.25" customHeight="1" x14ac:dyDescent="0.2">
      <c r="A37" s="18" t="s">
        <v>123</v>
      </c>
      <c r="B37" s="56"/>
      <c r="C37" s="22"/>
      <c r="D37" s="60"/>
      <c r="E37" s="60"/>
      <c r="I37" s="58"/>
    </row>
    <row r="38" spans="1:28" s="59" customFormat="1" ht="26.25" customHeight="1" x14ac:dyDescent="0.2">
      <c r="A38" s="58" t="s">
        <v>124</v>
      </c>
      <c r="B38" s="56"/>
      <c r="C38" s="22"/>
      <c r="D38" s="60"/>
      <c r="E38" s="60"/>
      <c r="I38" s="58"/>
    </row>
    <row r="39" spans="1:28" s="59" customFormat="1" ht="26.25" customHeight="1" x14ac:dyDescent="0.2">
      <c r="A39" s="18" t="s">
        <v>125</v>
      </c>
      <c r="B39" s="18"/>
      <c r="C39" s="9"/>
      <c r="D39" s="60"/>
      <c r="E39" s="60"/>
      <c r="I39" s="58"/>
    </row>
    <row r="40" spans="1:28" ht="24.75" customHeight="1" x14ac:dyDescent="0.2">
      <c r="A40" s="18" t="s">
        <v>126</v>
      </c>
      <c r="B40" s="18"/>
      <c r="C40" s="9"/>
      <c r="D40" s="60"/>
    </row>
  </sheetData>
  <mergeCells count="6">
    <mergeCell ref="A1:E3"/>
    <mergeCell ref="K4:L4"/>
    <mergeCell ref="A5:C6"/>
    <mergeCell ref="D9:E9"/>
    <mergeCell ref="F9:G9"/>
    <mergeCell ref="A10:B10"/>
  </mergeCells>
  <phoneticPr fontId="2"/>
  <hyperlinks>
    <hyperlink ref="L3" r:id="rId1" xr:uid="{3D848D52-4FC0-4D85-B394-50083631E5DB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H41"/>
  <sheetViews>
    <sheetView showGridLines="0" showOutlineSymbols="0" topLeftCell="A4" zoomScale="60" zoomScaleNormal="55" workbookViewId="0">
      <selection activeCell="A8" sqref="A8"/>
    </sheetView>
  </sheetViews>
  <sheetFormatPr defaultRowHeight="13.5" x14ac:dyDescent="0.15"/>
  <cols>
    <col min="1" max="1" width="18.625" customWidth="1"/>
    <col min="2" max="2" width="20.625" customWidth="1"/>
    <col min="3" max="3" width="15.625" customWidth="1"/>
    <col min="4" max="4" width="10.25" customWidth="1"/>
    <col min="5" max="5" width="6.625" customWidth="1"/>
    <col min="6" max="6" width="6.125" customWidth="1"/>
    <col min="7" max="7" width="14" customWidth="1"/>
    <col min="8" max="8" width="9.25" customWidth="1"/>
    <col min="9" max="9" width="11.125" customWidth="1"/>
    <col min="10" max="10" width="13.375" customWidth="1"/>
    <col min="11" max="11" width="14.375" customWidth="1"/>
    <col min="12" max="12" width="8.625" customWidth="1"/>
    <col min="13" max="16" width="22.625" customWidth="1"/>
    <col min="17" max="17" width="9.375" customWidth="1"/>
    <col min="18" max="18" width="5.75" customWidth="1"/>
  </cols>
  <sheetData>
    <row r="1" spans="1:18" ht="23.25" customHeight="1" x14ac:dyDescent="0.3">
      <c r="A1" s="267" t="s">
        <v>23</v>
      </c>
      <c r="B1" s="268"/>
      <c r="C1" s="268"/>
      <c r="D1" s="268"/>
      <c r="E1" s="268"/>
      <c r="F1" s="268"/>
      <c r="G1" s="268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24</v>
      </c>
    </row>
    <row r="2" spans="1:18" ht="23.25" customHeight="1" x14ac:dyDescent="0.3">
      <c r="A2" s="268"/>
      <c r="B2" s="268"/>
      <c r="C2" s="268"/>
      <c r="D2" s="268"/>
      <c r="E2" s="268"/>
      <c r="F2" s="268"/>
      <c r="G2" s="268"/>
      <c r="H2" s="36"/>
      <c r="I2" s="36"/>
      <c r="J2" s="36"/>
      <c r="K2" s="36"/>
      <c r="L2" s="36"/>
      <c r="M2" s="36"/>
      <c r="N2" s="36"/>
      <c r="O2" s="36"/>
      <c r="P2" s="36"/>
      <c r="Q2" s="36"/>
      <c r="R2" s="35" t="s">
        <v>25</v>
      </c>
    </row>
    <row r="3" spans="1:18" ht="23.25" customHeight="1" x14ac:dyDescent="0.15">
      <c r="A3" s="268"/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  <c r="M3" s="36"/>
      <c r="N3" s="36"/>
      <c r="O3" s="36"/>
      <c r="P3" s="36"/>
      <c r="Q3" s="36"/>
      <c r="R3" s="81" t="s">
        <v>26</v>
      </c>
    </row>
    <row r="4" spans="1:18" s="3" customFormat="1" ht="23.25" customHeight="1" x14ac:dyDescent="0.2">
      <c r="A4" s="73" t="s">
        <v>21</v>
      </c>
      <c r="B4" s="37"/>
      <c r="C4" s="37"/>
      <c r="D4" s="37"/>
      <c r="E4" s="37"/>
      <c r="F4" s="37"/>
      <c r="G4" s="37"/>
      <c r="Q4" s="258">
        <v>43586</v>
      </c>
      <c r="R4" s="259"/>
    </row>
    <row r="5" spans="1:18" ht="24" customHeight="1" x14ac:dyDescent="0.2">
      <c r="A5" s="260" t="s">
        <v>27</v>
      </c>
      <c r="B5" s="260"/>
      <c r="C5" s="260"/>
      <c r="D5" s="58"/>
    </row>
    <row r="6" spans="1:18" s="13" customFormat="1" ht="24" customHeight="1" x14ac:dyDescent="0.2">
      <c r="A6" s="260"/>
      <c r="B6" s="260"/>
      <c r="C6" s="260"/>
      <c r="D6" s="39"/>
      <c r="E6" s="23"/>
      <c r="F6" s="23"/>
      <c r="G6" s="24"/>
      <c r="H6" s="24"/>
      <c r="I6" s="24"/>
      <c r="J6" s="24"/>
      <c r="K6" s="24"/>
      <c r="L6" s="24"/>
      <c r="M6" s="24"/>
      <c r="N6" s="12"/>
      <c r="P6" s="6"/>
      <c r="R6" s="11"/>
    </row>
    <row r="7" spans="1:18" s="13" customFormat="1" ht="22.5" customHeight="1" x14ac:dyDescent="0.3">
      <c r="A7" s="38" t="s">
        <v>55</v>
      </c>
      <c r="B7" s="17"/>
      <c r="C7" s="17"/>
      <c r="D7" s="71" t="s">
        <v>33</v>
      </c>
      <c r="E7" s="23"/>
      <c r="F7" s="23"/>
      <c r="G7" s="24"/>
      <c r="H7" s="24"/>
      <c r="I7" s="24"/>
      <c r="J7" s="24"/>
      <c r="K7" s="24"/>
      <c r="L7" s="24"/>
      <c r="M7" s="24"/>
      <c r="N7" s="12"/>
    </row>
    <row r="8" spans="1:18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24"/>
      <c r="M8" s="24"/>
      <c r="N8" s="12"/>
    </row>
    <row r="9" spans="1:18" s="6" customFormat="1" ht="26.1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52</v>
      </c>
      <c r="J9" s="262"/>
      <c r="K9" s="262"/>
      <c r="L9" s="263"/>
      <c r="M9" s="100" t="s">
        <v>22</v>
      </c>
      <c r="N9" s="79" t="s">
        <v>8</v>
      </c>
      <c r="O9" s="80" t="s">
        <v>9</v>
      </c>
      <c r="P9" s="110" t="s">
        <v>10</v>
      </c>
    </row>
    <row r="10" spans="1:18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6</v>
      </c>
      <c r="J10" s="265"/>
      <c r="K10" s="264" t="s">
        <v>5</v>
      </c>
      <c r="L10" s="265"/>
      <c r="M10" s="84" t="s">
        <v>7</v>
      </c>
      <c r="N10" s="84" t="s">
        <v>7</v>
      </c>
      <c r="O10" s="77" t="s">
        <v>7</v>
      </c>
      <c r="P10" s="84" t="s">
        <v>7</v>
      </c>
    </row>
    <row r="11" spans="1:18" ht="26.1" customHeight="1" x14ac:dyDescent="0.2">
      <c r="A11" s="89" t="s">
        <v>57</v>
      </c>
      <c r="B11" s="68"/>
      <c r="C11" s="69" t="s">
        <v>109</v>
      </c>
      <c r="D11" s="70">
        <v>43595</v>
      </c>
      <c r="E11" s="98" t="s">
        <v>105</v>
      </c>
      <c r="F11" s="99" t="s">
        <v>33</v>
      </c>
      <c r="G11" s="53">
        <f>D11-2</f>
        <v>43593</v>
      </c>
      <c r="H11" s="74" t="s">
        <v>33</v>
      </c>
      <c r="I11" s="104">
        <v>43595</v>
      </c>
      <c r="J11" s="98" t="s">
        <v>105</v>
      </c>
      <c r="K11" s="112">
        <f>I11-2</f>
        <v>43593</v>
      </c>
      <c r="L11" s="74"/>
      <c r="M11" s="85">
        <v>43598</v>
      </c>
      <c r="N11" s="105">
        <v>43625</v>
      </c>
      <c r="O11" s="85">
        <f t="shared" ref="O11:O17" si="0">N11+6</f>
        <v>43631</v>
      </c>
      <c r="P11" s="86">
        <f t="shared" ref="P11:P20" si="1">N11+7</f>
        <v>43632</v>
      </c>
      <c r="Q11" s="72" t="s">
        <v>29</v>
      </c>
    </row>
    <row r="12" spans="1:18" ht="26.1" customHeight="1" x14ac:dyDescent="0.2">
      <c r="A12" s="89" t="s">
        <v>53</v>
      </c>
      <c r="B12" s="68"/>
      <c r="C12" s="69" t="s">
        <v>110</v>
      </c>
      <c r="D12" s="70">
        <v>43598</v>
      </c>
      <c r="E12" s="98" t="s">
        <v>43</v>
      </c>
      <c r="F12" s="99" t="s">
        <v>33</v>
      </c>
      <c r="G12" s="53">
        <f>D12-4</f>
        <v>43594</v>
      </c>
      <c r="H12" s="74" t="s">
        <v>33</v>
      </c>
      <c r="I12" s="104">
        <v>43598</v>
      </c>
      <c r="J12" s="98" t="s">
        <v>119</v>
      </c>
      <c r="K12" s="112">
        <f>I12-4</f>
        <v>43594</v>
      </c>
      <c r="L12" s="74"/>
      <c r="M12" s="85">
        <v>43602</v>
      </c>
      <c r="N12" s="105">
        <v>43631</v>
      </c>
      <c r="O12" s="85">
        <f t="shared" si="0"/>
        <v>43637</v>
      </c>
      <c r="P12" s="86">
        <f t="shared" si="1"/>
        <v>43638</v>
      </c>
      <c r="Q12" s="72" t="s">
        <v>28</v>
      </c>
    </row>
    <row r="13" spans="1:18" ht="26.1" customHeight="1" x14ac:dyDescent="0.2">
      <c r="A13" s="89" t="s">
        <v>64</v>
      </c>
      <c r="B13" s="68"/>
      <c r="C13" s="69" t="s">
        <v>111</v>
      </c>
      <c r="D13" s="70">
        <v>43599</v>
      </c>
      <c r="E13" s="98" t="s">
        <v>119</v>
      </c>
      <c r="F13" s="99" t="s">
        <v>33</v>
      </c>
      <c r="G13" s="53">
        <f>D13-4</f>
        <v>43595</v>
      </c>
      <c r="H13" s="74" t="s">
        <v>33</v>
      </c>
      <c r="I13" s="104">
        <v>43600</v>
      </c>
      <c r="J13" s="98" t="s">
        <v>44</v>
      </c>
      <c r="K13" s="112">
        <f>I13-2</f>
        <v>43598</v>
      </c>
      <c r="L13" s="74"/>
      <c r="M13" s="85">
        <v>43604</v>
      </c>
      <c r="N13" s="105">
        <v>43631</v>
      </c>
      <c r="O13" s="85">
        <f t="shared" si="0"/>
        <v>43637</v>
      </c>
      <c r="P13" s="86">
        <f t="shared" si="1"/>
        <v>43638</v>
      </c>
      <c r="Q13" s="72"/>
    </row>
    <row r="14" spans="1:18" ht="26.1" customHeight="1" x14ac:dyDescent="0.2">
      <c r="A14" s="89" t="s">
        <v>57</v>
      </c>
      <c r="B14" s="68"/>
      <c r="C14" s="69" t="s">
        <v>112</v>
      </c>
      <c r="D14" s="70">
        <v>43602</v>
      </c>
      <c r="E14" s="98" t="s">
        <v>106</v>
      </c>
      <c r="F14" s="99"/>
      <c r="G14" s="53">
        <f>D14-2</f>
        <v>43600</v>
      </c>
      <c r="H14" s="74"/>
      <c r="I14" s="70">
        <v>43602</v>
      </c>
      <c r="J14" s="98" t="s">
        <v>106</v>
      </c>
      <c r="K14" s="113">
        <f>I14-2</f>
        <v>43600</v>
      </c>
      <c r="L14" s="102"/>
      <c r="M14" s="85">
        <v>43605</v>
      </c>
      <c r="N14" s="105">
        <v>43632</v>
      </c>
      <c r="O14" s="85">
        <f t="shared" si="0"/>
        <v>43638</v>
      </c>
      <c r="P14" s="86">
        <f t="shared" si="1"/>
        <v>43639</v>
      </c>
      <c r="Q14" s="72"/>
    </row>
    <row r="15" spans="1:18" ht="26.1" customHeight="1" x14ac:dyDescent="0.2">
      <c r="A15" s="89" t="s">
        <v>53</v>
      </c>
      <c r="B15" s="68"/>
      <c r="C15" s="69" t="s">
        <v>113</v>
      </c>
      <c r="D15" s="70">
        <v>43605</v>
      </c>
      <c r="E15" s="98" t="s">
        <v>30</v>
      </c>
      <c r="F15" s="99"/>
      <c r="G15" s="53">
        <f>D15-4</f>
        <v>43601</v>
      </c>
      <c r="H15" s="74"/>
      <c r="I15" s="70">
        <v>43605</v>
      </c>
      <c r="J15" s="98" t="s">
        <v>120</v>
      </c>
      <c r="K15" s="112">
        <f>I15-4</f>
        <v>43601</v>
      </c>
      <c r="L15" s="74"/>
      <c r="M15" s="85">
        <v>43609</v>
      </c>
      <c r="N15" s="105">
        <v>43638</v>
      </c>
      <c r="O15" s="85">
        <f t="shared" si="0"/>
        <v>43644</v>
      </c>
      <c r="P15" s="86">
        <f t="shared" si="1"/>
        <v>43645</v>
      </c>
      <c r="Q15" s="72"/>
    </row>
    <row r="16" spans="1:18" ht="26.1" customHeight="1" x14ac:dyDescent="0.2">
      <c r="A16" s="89" t="s">
        <v>64</v>
      </c>
      <c r="B16" s="68"/>
      <c r="C16" s="69" t="s">
        <v>114</v>
      </c>
      <c r="D16" s="70">
        <v>43606</v>
      </c>
      <c r="E16" s="98" t="s">
        <v>120</v>
      </c>
      <c r="F16" s="99"/>
      <c r="G16" s="53">
        <f>D16-4</f>
        <v>43602</v>
      </c>
      <c r="H16" s="74"/>
      <c r="I16" s="70">
        <v>43607</v>
      </c>
      <c r="J16" s="98" t="s">
        <v>31</v>
      </c>
      <c r="K16" s="113">
        <f>I16-2</f>
        <v>43605</v>
      </c>
      <c r="L16" s="74"/>
      <c r="M16" s="85">
        <v>43611</v>
      </c>
      <c r="N16" s="105">
        <v>43638</v>
      </c>
      <c r="O16" s="85">
        <f t="shared" si="0"/>
        <v>43644</v>
      </c>
      <c r="P16" s="86">
        <f t="shared" si="1"/>
        <v>43645</v>
      </c>
      <c r="Q16" s="72"/>
    </row>
    <row r="17" spans="1:34" ht="26.1" customHeight="1" x14ac:dyDescent="0.2">
      <c r="A17" s="89" t="s">
        <v>57</v>
      </c>
      <c r="B17" s="68"/>
      <c r="C17" s="69" t="s">
        <v>115</v>
      </c>
      <c r="D17" s="70">
        <v>43609</v>
      </c>
      <c r="E17" s="98" t="s">
        <v>107</v>
      </c>
      <c r="F17" s="99"/>
      <c r="G17" s="53">
        <f>D17-2</f>
        <v>43607</v>
      </c>
      <c r="H17" s="74"/>
      <c r="I17" s="70">
        <v>43609</v>
      </c>
      <c r="J17" s="98" t="s">
        <v>107</v>
      </c>
      <c r="K17" s="113">
        <f>I17-2</f>
        <v>43607</v>
      </c>
      <c r="L17" s="74"/>
      <c r="M17" s="85">
        <v>43612</v>
      </c>
      <c r="N17" s="105">
        <v>43639</v>
      </c>
      <c r="O17" s="85">
        <f t="shared" si="0"/>
        <v>43645</v>
      </c>
      <c r="P17" s="86">
        <f t="shared" si="1"/>
        <v>43646</v>
      </c>
      <c r="Q17" s="72"/>
    </row>
    <row r="18" spans="1:34" ht="26.1" customHeight="1" x14ac:dyDescent="0.2">
      <c r="A18" s="89" t="s">
        <v>53</v>
      </c>
      <c r="B18" s="68"/>
      <c r="C18" s="69" t="s">
        <v>116</v>
      </c>
      <c r="D18" s="70">
        <v>43612</v>
      </c>
      <c r="E18" s="98" t="s">
        <v>38</v>
      </c>
      <c r="F18" s="99"/>
      <c r="G18" s="53">
        <f>D18-4</f>
        <v>43608</v>
      </c>
      <c r="H18" s="74"/>
      <c r="I18" s="70">
        <v>43612</v>
      </c>
      <c r="J18" s="98" t="s">
        <v>38</v>
      </c>
      <c r="K18" s="112">
        <f>I18-4</f>
        <v>43608</v>
      </c>
      <c r="L18" s="74"/>
      <c r="M18" s="85">
        <v>43616</v>
      </c>
      <c r="N18" s="105">
        <v>43645</v>
      </c>
      <c r="O18" s="85">
        <v>43574</v>
      </c>
      <c r="P18" s="86">
        <f t="shared" si="1"/>
        <v>43652</v>
      </c>
      <c r="Q18" s="72"/>
    </row>
    <row r="19" spans="1:34" ht="26.1" customHeight="1" x14ac:dyDescent="0.2">
      <c r="A19" s="89" t="s">
        <v>64</v>
      </c>
      <c r="B19" s="68"/>
      <c r="C19" s="69" t="s">
        <v>117</v>
      </c>
      <c r="D19" s="70">
        <v>43613</v>
      </c>
      <c r="E19" s="98" t="s">
        <v>121</v>
      </c>
      <c r="F19" s="99"/>
      <c r="G19" s="53">
        <f>D19-4</f>
        <v>43609</v>
      </c>
      <c r="H19" s="74"/>
      <c r="I19" s="70">
        <v>43614</v>
      </c>
      <c r="J19" s="98" t="s">
        <v>46</v>
      </c>
      <c r="K19" s="112">
        <f>I19-2</f>
        <v>43612</v>
      </c>
      <c r="L19" s="74"/>
      <c r="M19" s="85">
        <v>43618</v>
      </c>
      <c r="N19" s="105">
        <v>43645</v>
      </c>
      <c r="O19" s="85">
        <f>N19+6</f>
        <v>43651</v>
      </c>
      <c r="P19" s="86">
        <f t="shared" si="1"/>
        <v>43652</v>
      </c>
      <c r="Q19" s="72"/>
    </row>
    <row r="20" spans="1:34" ht="26.1" customHeight="1" x14ac:dyDescent="0.2">
      <c r="A20" s="89" t="s">
        <v>57</v>
      </c>
      <c r="B20" s="68"/>
      <c r="C20" s="69" t="s">
        <v>118</v>
      </c>
      <c r="D20" s="70">
        <v>43616</v>
      </c>
      <c r="E20" s="98" t="s">
        <v>122</v>
      </c>
      <c r="F20" s="99"/>
      <c r="G20" s="53">
        <f>D20-2</f>
        <v>43614</v>
      </c>
      <c r="H20" s="74"/>
      <c r="I20" s="70">
        <v>43616</v>
      </c>
      <c r="J20" s="98" t="s">
        <v>122</v>
      </c>
      <c r="K20" s="112">
        <f>I20-2</f>
        <v>43614</v>
      </c>
      <c r="L20" s="74"/>
      <c r="M20" s="85">
        <v>43619</v>
      </c>
      <c r="N20" s="105">
        <v>43646</v>
      </c>
      <c r="O20" s="85">
        <f>N20+6</f>
        <v>43652</v>
      </c>
      <c r="P20" s="86">
        <f t="shared" si="1"/>
        <v>43653</v>
      </c>
      <c r="Q20" s="72"/>
    </row>
    <row r="21" spans="1:34" ht="26.1" customHeight="1" x14ac:dyDescent="0.2">
      <c r="A21" s="89"/>
      <c r="B21" s="68"/>
      <c r="C21" s="69"/>
      <c r="D21" s="70"/>
      <c r="E21" s="98"/>
      <c r="F21" s="99"/>
      <c r="G21" s="53"/>
      <c r="H21" s="74"/>
      <c r="I21" s="70"/>
      <c r="J21" s="98"/>
      <c r="K21" s="112"/>
      <c r="L21" s="74"/>
      <c r="M21" s="85"/>
      <c r="N21" s="105"/>
      <c r="O21" s="85"/>
      <c r="P21" s="86"/>
      <c r="Q21" s="72"/>
    </row>
    <row r="22" spans="1:34" ht="26.1" customHeight="1" x14ac:dyDescent="0.2">
      <c r="A22" s="89"/>
      <c r="B22" s="68"/>
      <c r="C22" s="69"/>
      <c r="D22" s="70"/>
      <c r="E22" s="98"/>
      <c r="F22" s="99"/>
      <c r="G22" s="53"/>
      <c r="H22" s="74"/>
      <c r="I22" s="70"/>
      <c r="J22" s="98"/>
      <c r="K22" s="112"/>
      <c r="L22" s="74"/>
      <c r="M22" s="85"/>
      <c r="N22" s="105"/>
      <c r="O22" s="85"/>
      <c r="P22" s="86"/>
      <c r="Q22" s="72" t="s">
        <v>28</v>
      </c>
    </row>
    <row r="23" spans="1:34" ht="26.1" customHeight="1" x14ac:dyDescent="0.2">
      <c r="A23" s="89"/>
      <c r="B23" s="68"/>
      <c r="C23" s="69"/>
      <c r="D23" s="70"/>
      <c r="E23" s="98"/>
      <c r="F23" s="99"/>
      <c r="G23" s="53"/>
      <c r="H23" s="74"/>
      <c r="I23" s="70"/>
      <c r="J23" s="98"/>
      <c r="K23" s="112"/>
      <c r="L23" s="74"/>
      <c r="M23" s="85"/>
      <c r="N23" s="105"/>
      <c r="O23" s="85"/>
      <c r="P23" s="86"/>
      <c r="Q23" s="72" t="s">
        <v>28</v>
      </c>
    </row>
    <row r="24" spans="1:34" ht="26.1" customHeight="1" x14ac:dyDescent="0.2">
      <c r="A24" s="89"/>
      <c r="B24" s="68"/>
      <c r="C24" s="69"/>
      <c r="D24" s="70"/>
      <c r="E24" s="98"/>
      <c r="F24" s="99"/>
      <c r="G24" s="53"/>
      <c r="H24" s="74"/>
      <c r="I24" s="104"/>
      <c r="J24" s="98"/>
      <c r="K24" s="112"/>
      <c r="L24" s="74"/>
      <c r="M24" s="85"/>
      <c r="N24" s="105"/>
      <c r="O24" s="85"/>
      <c r="P24" s="86"/>
      <c r="Q24" s="72"/>
    </row>
    <row r="25" spans="1:34" ht="25.5" customHeight="1" x14ac:dyDescent="0.2">
      <c r="A25" s="89"/>
      <c r="B25" s="68"/>
      <c r="C25" s="69"/>
      <c r="D25" s="70"/>
      <c r="E25" s="98"/>
      <c r="F25" s="99"/>
      <c r="G25" s="53"/>
      <c r="H25" s="74"/>
      <c r="I25" s="104"/>
      <c r="J25" s="98"/>
      <c r="K25" s="112"/>
      <c r="L25" s="74"/>
      <c r="M25" s="85"/>
      <c r="N25" s="105"/>
      <c r="O25" s="85"/>
      <c r="P25" s="86"/>
      <c r="Q25" s="72"/>
    </row>
    <row r="26" spans="1:34" ht="21" customHeight="1" x14ac:dyDescent="0.2">
      <c r="A26" s="67"/>
      <c r="B26" s="18"/>
      <c r="C26" s="9"/>
      <c r="D26" s="54"/>
      <c r="E26" s="55"/>
      <c r="F26" s="78"/>
      <c r="G26" s="54"/>
      <c r="H26" s="75"/>
      <c r="I26" s="75"/>
      <c r="J26" s="75"/>
      <c r="K26" s="75"/>
      <c r="L26" s="75"/>
      <c r="M26" s="75"/>
      <c r="N26" s="54"/>
      <c r="O26" s="54"/>
      <c r="P26" s="54"/>
      <c r="Q26" s="72"/>
    </row>
    <row r="27" spans="1:34" ht="26.25" customHeight="1" x14ac:dyDescent="0.2">
      <c r="A27" s="15" t="s">
        <v>50</v>
      </c>
      <c r="B27" s="15"/>
      <c r="J27" s="90"/>
      <c r="K27" s="90"/>
      <c r="L27" s="54"/>
      <c r="M27" s="54"/>
      <c r="N27" s="54"/>
      <c r="O27" s="108"/>
      <c r="P27" s="54"/>
      <c r="Q27" s="72"/>
    </row>
    <row r="28" spans="1:34" ht="26.25" customHeight="1" x14ac:dyDescent="0.2">
      <c r="A28" s="15"/>
      <c r="B28" s="92" t="s">
        <v>77</v>
      </c>
      <c r="C28" s="91" t="s">
        <v>78</v>
      </c>
      <c r="G28" s="92"/>
      <c r="H28" s="1"/>
      <c r="I28" s="114" t="s">
        <v>82</v>
      </c>
      <c r="K28" s="115" t="s">
        <v>87</v>
      </c>
      <c r="L28" s="108"/>
      <c r="M28" s="108"/>
      <c r="N28" s="54"/>
      <c r="O28" s="115"/>
      <c r="P28" s="108"/>
      <c r="Q28" s="108"/>
    </row>
    <row r="29" spans="1:34" s="2" customFormat="1" ht="26.25" customHeight="1" x14ac:dyDescent="0.2">
      <c r="A29" s="93"/>
      <c r="B29" s="93"/>
      <c r="C29" s="91" t="s">
        <v>79</v>
      </c>
      <c r="D29"/>
      <c r="E29"/>
      <c r="F29"/>
      <c r="G29" s="92"/>
      <c r="H29"/>
      <c r="I29" s="10"/>
      <c r="J29" s="108"/>
      <c r="K29" s="10" t="s">
        <v>89</v>
      </c>
      <c r="L29" s="108"/>
      <c r="M29" s="108"/>
      <c r="N29" s="10"/>
      <c r="O29" s="10"/>
      <c r="P29" s="108"/>
      <c r="Q29" s="108"/>
      <c r="R29"/>
    </row>
    <row r="30" spans="1:34" s="33" customFormat="1" ht="26.25" customHeight="1" x14ac:dyDescent="0.2">
      <c r="A30" s="94"/>
      <c r="B30" s="94"/>
      <c r="C30" s="15" t="s">
        <v>80</v>
      </c>
      <c r="D30"/>
      <c r="E30"/>
      <c r="F30"/>
      <c r="G30" s="92"/>
      <c r="H30" s="4"/>
      <c r="I30" s="10"/>
      <c r="J30" s="15"/>
      <c r="K30" s="116" t="s">
        <v>90</v>
      </c>
      <c r="L30" s="15"/>
      <c r="M30" s="15"/>
      <c r="N30" s="109"/>
      <c r="O30" s="116"/>
      <c r="P30" s="15"/>
      <c r="Q30" s="15"/>
      <c r="R30"/>
      <c r="S30"/>
      <c r="T30"/>
      <c r="U30"/>
      <c r="V30"/>
      <c r="W30"/>
      <c r="X30" s="15"/>
      <c r="Y30" s="15"/>
      <c r="Z30" s="15"/>
      <c r="AA30"/>
      <c r="AB30"/>
      <c r="AC30"/>
      <c r="AD30"/>
      <c r="AE30"/>
      <c r="AF30"/>
      <c r="AG30" s="90"/>
      <c r="AH30" s="90"/>
    </row>
    <row r="31" spans="1:34" s="33" customFormat="1" ht="26.25" customHeight="1" x14ac:dyDescent="0.2">
      <c r="A31" s="15"/>
      <c r="B31" s="15"/>
      <c r="C31" s="15" t="s">
        <v>81</v>
      </c>
      <c r="D31" s="96"/>
      <c r="E31" s="96"/>
      <c r="F31" s="97"/>
      <c r="G31"/>
      <c r="H31" s="1"/>
      <c r="I31" s="10"/>
      <c r="J31" s="15"/>
      <c r="K31" s="15" t="s">
        <v>91</v>
      </c>
      <c r="L31" s="15"/>
      <c r="M31" s="15"/>
      <c r="N31" s="109"/>
      <c r="O31" s="15"/>
      <c r="P31" s="15"/>
      <c r="Q31" s="15"/>
      <c r="R31" s="5"/>
      <c r="S31"/>
      <c r="T31" s="91"/>
      <c r="U31"/>
      <c r="V31"/>
      <c r="W31"/>
      <c r="X31" s="15"/>
      <c r="Y31" s="15"/>
      <c r="Z31" s="15"/>
      <c r="AA31" s="91"/>
      <c r="AB31"/>
      <c r="AC31"/>
      <c r="AD31"/>
      <c r="AE31" s="92"/>
      <c r="AF31" s="1"/>
      <c r="AG31" s="90"/>
      <c r="AH31" s="90"/>
    </row>
    <row r="32" spans="1:34" s="33" customFormat="1" ht="24.7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6"/>
      <c r="P32" s="19"/>
      <c r="S32"/>
      <c r="T32" s="10"/>
      <c r="U32"/>
      <c r="V32"/>
      <c r="W32"/>
      <c r="X32" s="15"/>
      <c r="Y32" s="93"/>
      <c r="Z32" s="93"/>
      <c r="AA32" s="91"/>
      <c r="AB32"/>
      <c r="AC32"/>
      <c r="AD32"/>
      <c r="AE32" s="92"/>
      <c r="AF32"/>
      <c r="AG32" s="90"/>
      <c r="AH32" s="90"/>
    </row>
    <row r="33" spans="1:34" s="33" customFormat="1" ht="26.25" customHeight="1" x14ac:dyDescent="0.2">
      <c r="A33" s="42" t="s">
        <v>1</v>
      </c>
      <c r="B33" s="43"/>
      <c r="C33" s="44"/>
      <c r="D33" s="45"/>
      <c r="E33" s="45"/>
      <c r="F33" s="45"/>
      <c r="G33" s="45"/>
      <c r="H33" s="51"/>
      <c r="I33" s="20"/>
      <c r="J33" s="20"/>
      <c r="K33" s="20"/>
      <c r="L33" s="20"/>
      <c r="M33" s="20"/>
      <c r="N33" s="14"/>
      <c r="O33" s="15"/>
      <c r="P33" s="15"/>
      <c r="Q33"/>
      <c r="R33"/>
      <c r="S33"/>
      <c r="T33" s="10"/>
      <c r="U33"/>
      <c r="V33"/>
      <c r="W33"/>
      <c r="X33"/>
      <c r="Y33" s="94"/>
      <c r="Z33" s="94"/>
      <c r="AA33" s="15"/>
      <c r="AB33"/>
      <c r="AC33"/>
      <c r="AD33"/>
      <c r="AE33" s="92"/>
      <c r="AF33" s="4"/>
      <c r="AG33" s="32"/>
      <c r="AH33" s="32"/>
    </row>
    <row r="34" spans="1:34" s="59" customFormat="1" ht="26.25" customHeight="1" x14ac:dyDescent="0.2">
      <c r="A34" s="106" t="s">
        <v>18</v>
      </c>
      <c r="B34" s="2"/>
      <c r="C34" s="2"/>
      <c r="D34" s="46"/>
      <c r="E34" s="2" t="s">
        <v>33</v>
      </c>
      <c r="F34" s="29"/>
      <c r="G34" s="46"/>
      <c r="H34" s="52"/>
      <c r="I34" s="2"/>
      <c r="J34" s="2"/>
      <c r="K34" s="2"/>
      <c r="L34" s="2"/>
      <c r="M34" s="2"/>
      <c r="N34" s="15"/>
      <c r="O34" s="15"/>
      <c r="P34" s="15"/>
      <c r="Q34"/>
      <c r="R34"/>
      <c r="S34"/>
      <c r="T34"/>
      <c r="U34"/>
      <c r="V34"/>
      <c r="W34"/>
      <c r="X34" s="15"/>
      <c r="Y34" s="15"/>
      <c r="Z34" s="15"/>
      <c r="AA34" s="15"/>
      <c r="AB34" s="96"/>
      <c r="AC34" s="96"/>
      <c r="AD34" s="97"/>
      <c r="AE34"/>
      <c r="AF34" s="1"/>
      <c r="AG34" s="32"/>
      <c r="AH34" s="32"/>
    </row>
    <row r="35" spans="1:34" s="59" customFormat="1" ht="26.25" customHeight="1" x14ac:dyDescent="0.2">
      <c r="A35" s="49" t="s">
        <v>17</v>
      </c>
      <c r="B35" s="27"/>
      <c r="C35" s="28"/>
      <c r="D35" s="50" t="s">
        <v>33</v>
      </c>
      <c r="E35" s="2"/>
      <c r="F35" s="2"/>
      <c r="G35" s="29"/>
      <c r="H35" s="52"/>
      <c r="I35" s="2"/>
      <c r="J35" s="2"/>
      <c r="K35" s="2"/>
      <c r="L35" s="2"/>
      <c r="M35" s="2"/>
      <c r="O35" s="15"/>
      <c r="P35" s="15"/>
      <c r="Q35"/>
      <c r="R35"/>
    </row>
    <row r="36" spans="1:34" s="59" customFormat="1" ht="26.25" customHeight="1" x14ac:dyDescent="0.2">
      <c r="A36" s="62" t="s">
        <v>33</v>
      </c>
      <c r="B36" s="63"/>
      <c r="C36" s="64"/>
      <c r="D36" s="65"/>
      <c r="E36" s="47"/>
      <c r="F36" s="47"/>
      <c r="G36" s="66"/>
      <c r="H36" s="48"/>
      <c r="I36" s="2"/>
      <c r="J36" s="2"/>
      <c r="K36" s="2"/>
      <c r="L36" s="2"/>
      <c r="M36" s="2"/>
      <c r="N36" s="58"/>
      <c r="O36"/>
      <c r="P36"/>
    </row>
    <row r="37" spans="1:34" s="59" customFormat="1" ht="22.5" customHeight="1" x14ac:dyDescent="0.2">
      <c r="A37" s="18"/>
      <c r="B37" s="56"/>
      <c r="C37" s="22"/>
      <c r="D37" s="60"/>
      <c r="E37" s="61"/>
      <c r="F37" s="41"/>
      <c r="G37" s="60"/>
      <c r="H37" s="40"/>
      <c r="I37" s="40"/>
      <c r="J37" s="40"/>
      <c r="K37" s="40"/>
      <c r="L37" s="40"/>
      <c r="M37" s="40"/>
      <c r="N37" s="60"/>
    </row>
    <row r="38" spans="1:34" s="59" customFormat="1" ht="26.25" customHeight="1" x14ac:dyDescent="0.2">
      <c r="A38" s="18" t="s">
        <v>123</v>
      </c>
      <c r="B38" s="56"/>
      <c r="C38" s="22"/>
      <c r="D38" s="60"/>
      <c r="E38" s="61"/>
      <c r="F38" s="41"/>
      <c r="G38" s="60"/>
      <c r="N38" s="58"/>
      <c r="O38" s="34"/>
    </row>
    <row r="39" spans="1:34" s="59" customFormat="1" ht="26.25" customHeight="1" x14ac:dyDescent="0.2">
      <c r="A39" s="58" t="s">
        <v>124</v>
      </c>
      <c r="B39" s="56"/>
      <c r="C39" s="22"/>
      <c r="D39" s="60"/>
      <c r="E39" s="61"/>
      <c r="F39" s="41"/>
      <c r="G39" s="60"/>
      <c r="N39" s="58"/>
      <c r="O39" s="32"/>
    </row>
    <row r="40" spans="1:34" s="59" customFormat="1" ht="26.25" customHeight="1" x14ac:dyDescent="0.2">
      <c r="A40" s="18" t="s">
        <v>125</v>
      </c>
      <c r="B40" s="18"/>
      <c r="C40" s="9"/>
      <c r="D40" s="60"/>
      <c r="E40" s="61"/>
      <c r="F40" s="41"/>
      <c r="G40" s="60"/>
      <c r="N40" s="58"/>
      <c r="O40" s="32"/>
    </row>
    <row r="41" spans="1:34" ht="24.75" customHeight="1" x14ac:dyDescent="0.2">
      <c r="A41" s="18" t="s">
        <v>126</v>
      </c>
      <c r="B41" s="18"/>
      <c r="C41" s="9"/>
      <c r="D41" s="60"/>
    </row>
  </sheetData>
  <mergeCells count="10">
    <mergeCell ref="A10:B10"/>
    <mergeCell ref="D10:F10"/>
    <mergeCell ref="G10:H10"/>
    <mergeCell ref="I10:J10"/>
    <mergeCell ref="K10:L10"/>
    <mergeCell ref="A1:G3"/>
    <mergeCell ref="Q4:R4"/>
    <mergeCell ref="A5:C6"/>
    <mergeCell ref="D9:H9"/>
    <mergeCell ref="I9:L9"/>
  </mergeCells>
  <phoneticPr fontId="2"/>
  <hyperlinks>
    <hyperlink ref="R3" r:id="rId1" xr:uid="{00000000-0004-0000-03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0E0D8-EAA4-4223-B420-CB294403F54B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9064-4419-48AD-B98E-71FF757664A3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F31"/>
  <sheetViews>
    <sheetView showGridLines="0" showOutlineSymbols="0" zoomScale="55" zoomScaleNormal="59" workbookViewId="0">
      <selection activeCell="J29" sqref="J29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43617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161</v>
      </c>
      <c r="B11" s="68"/>
      <c r="C11" s="69" t="s">
        <v>162</v>
      </c>
      <c r="D11" s="117" t="s">
        <v>137</v>
      </c>
      <c r="E11" s="98" t="s">
        <v>166</v>
      </c>
      <c r="F11" s="99" t="s">
        <v>33</v>
      </c>
      <c r="G11" s="53" t="s">
        <v>137</v>
      </c>
      <c r="H11" s="118" t="s">
        <v>151</v>
      </c>
      <c r="I11" s="124" t="s">
        <v>137</v>
      </c>
      <c r="J11" s="125" t="s">
        <v>170</v>
      </c>
      <c r="K11" s="126" t="s">
        <v>141</v>
      </c>
      <c r="L11" s="127" t="s">
        <v>174</v>
      </c>
      <c r="M11" s="128" t="s">
        <v>141</v>
      </c>
      <c r="N11" s="129" t="s">
        <v>178</v>
      </c>
      <c r="O11" s="72" t="s">
        <v>29</v>
      </c>
    </row>
    <row r="12" spans="1:16" ht="26.1" customHeight="1" x14ac:dyDescent="0.2">
      <c r="A12" s="89" t="s">
        <v>147</v>
      </c>
      <c r="B12" s="68"/>
      <c r="C12" s="69" t="s">
        <v>163</v>
      </c>
      <c r="D12" s="117" t="s">
        <v>137</v>
      </c>
      <c r="E12" s="98" t="s">
        <v>167</v>
      </c>
      <c r="F12" s="99" t="s">
        <v>33</v>
      </c>
      <c r="G12" s="53" t="s">
        <v>137</v>
      </c>
      <c r="H12" s="118" t="s">
        <v>170</v>
      </c>
      <c r="I12" s="124" t="s">
        <v>137</v>
      </c>
      <c r="J12" s="125" t="s">
        <v>171</v>
      </c>
      <c r="K12" s="126" t="s">
        <v>141</v>
      </c>
      <c r="L12" s="127" t="s">
        <v>175</v>
      </c>
      <c r="M12" s="128" t="s">
        <v>141</v>
      </c>
      <c r="N12" s="129" t="s">
        <v>179</v>
      </c>
      <c r="O12" s="72" t="s">
        <v>28</v>
      </c>
    </row>
    <row r="13" spans="1:16" ht="26.1" customHeight="1" x14ac:dyDescent="0.2">
      <c r="A13" s="89" t="s">
        <v>148</v>
      </c>
      <c r="B13" s="68"/>
      <c r="C13" s="69" t="s">
        <v>164</v>
      </c>
      <c r="D13" s="117" t="s">
        <v>137</v>
      </c>
      <c r="E13" s="98" t="s">
        <v>168</v>
      </c>
      <c r="F13" s="99"/>
      <c r="G13" s="53" t="s">
        <v>137</v>
      </c>
      <c r="H13" s="118" t="s">
        <v>171</v>
      </c>
      <c r="I13" s="124" t="s">
        <v>137</v>
      </c>
      <c r="J13" s="125" t="s">
        <v>172</v>
      </c>
      <c r="K13" s="126" t="s">
        <v>141</v>
      </c>
      <c r="L13" s="127" t="s">
        <v>176</v>
      </c>
      <c r="M13" s="128" t="s">
        <v>141</v>
      </c>
      <c r="N13" s="129" t="s">
        <v>180</v>
      </c>
      <c r="O13" s="72"/>
    </row>
    <row r="14" spans="1:16" ht="26.1" customHeight="1" x14ac:dyDescent="0.2">
      <c r="A14" s="89" t="s">
        <v>161</v>
      </c>
      <c r="B14" s="68"/>
      <c r="C14" s="69" t="s">
        <v>165</v>
      </c>
      <c r="D14" s="117" t="s">
        <v>137</v>
      </c>
      <c r="E14" s="98" t="s">
        <v>169</v>
      </c>
      <c r="F14" s="99"/>
      <c r="G14" s="53" t="s">
        <v>137</v>
      </c>
      <c r="H14" s="118" t="s">
        <v>172</v>
      </c>
      <c r="I14" s="124" t="s">
        <v>137</v>
      </c>
      <c r="J14" s="125" t="s">
        <v>173</v>
      </c>
      <c r="K14" s="126" t="s">
        <v>141</v>
      </c>
      <c r="L14" s="127" t="s">
        <v>177</v>
      </c>
      <c r="M14" s="128" t="s">
        <v>141</v>
      </c>
      <c r="N14" s="129" t="s">
        <v>181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5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F31"/>
  <sheetViews>
    <sheetView showGridLines="0" showOutlineSymbols="0" zoomScale="55" zoomScaleNormal="59" workbookViewId="0">
      <selection activeCell="J26" sqref="J26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43617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148</v>
      </c>
      <c r="B11" s="68"/>
      <c r="C11" s="69" t="s">
        <v>150</v>
      </c>
      <c r="D11" s="117" t="s">
        <v>127</v>
      </c>
      <c r="E11" s="98" t="s">
        <v>128</v>
      </c>
      <c r="F11" s="99" t="s">
        <v>33</v>
      </c>
      <c r="G11" s="53" t="s">
        <v>127</v>
      </c>
      <c r="H11" s="118" t="s">
        <v>131</v>
      </c>
      <c r="I11" s="124" t="s">
        <v>127</v>
      </c>
      <c r="J11" s="125" t="s">
        <v>132</v>
      </c>
      <c r="K11" s="126" t="s">
        <v>137</v>
      </c>
      <c r="L11" s="127" t="s">
        <v>136</v>
      </c>
      <c r="M11" s="128" t="s">
        <v>137</v>
      </c>
      <c r="N11" s="129" t="s">
        <v>132</v>
      </c>
      <c r="O11" s="72" t="s">
        <v>29</v>
      </c>
    </row>
    <row r="12" spans="1:16" ht="26.1" customHeight="1" x14ac:dyDescent="0.2">
      <c r="A12" s="89" t="s">
        <v>149</v>
      </c>
      <c r="B12" s="68"/>
      <c r="C12" s="69" t="s">
        <v>160</v>
      </c>
      <c r="D12" s="117" t="s">
        <v>127</v>
      </c>
      <c r="E12" s="98" t="s">
        <v>129</v>
      </c>
      <c r="F12" s="99" t="s">
        <v>33</v>
      </c>
      <c r="G12" s="53" t="s">
        <v>127</v>
      </c>
      <c r="H12" s="118" t="s">
        <v>132</v>
      </c>
      <c r="I12" s="124" t="s">
        <v>127</v>
      </c>
      <c r="J12" s="125" t="s">
        <v>133</v>
      </c>
      <c r="K12" s="126" t="s">
        <v>137</v>
      </c>
      <c r="L12" s="127" t="s">
        <v>138</v>
      </c>
      <c r="M12" s="128" t="s">
        <v>137</v>
      </c>
      <c r="N12" s="129" t="s">
        <v>133</v>
      </c>
      <c r="O12" s="72" t="s">
        <v>28</v>
      </c>
    </row>
    <row r="13" spans="1:16" ht="26.1" customHeight="1" x14ac:dyDescent="0.2">
      <c r="A13" s="89" t="s">
        <v>147</v>
      </c>
      <c r="B13" s="68"/>
      <c r="C13" s="69" t="s">
        <v>158</v>
      </c>
      <c r="D13" s="117" t="s">
        <v>127</v>
      </c>
      <c r="E13" s="98" t="s">
        <v>130</v>
      </c>
      <c r="F13" s="99"/>
      <c r="G13" s="53" t="s">
        <v>127</v>
      </c>
      <c r="H13" s="118" t="s">
        <v>133</v>
      </c>
      <c r="I13" s="124" t="s">
        <v>127</v>
      </c>
      <c r="J13" s="125" t="s">
        <v>134</v>
      </c>
      <c r="K13" s="126" t="s">
        <v>137</v>
      </c>
      <c r="L13" s="127" t="s">
        <v>139</v>
      </c>
      <c r="M13" s="128" t="s">
        <v>137</v>
      </c>
      <c r="N13" s="129" t="s">
        <v>134</v>
      </c>
      <c r="O13" s="72"/>
    </row>
    <row r="14" spans="1:16" ht="26.1" customHeight="1" x14ac:dyDescent="0.2">
      <c r="A14" s="89" t="s">
        <v>148</v>
      </c>
      <c r="B14" s="68"/>
      <c r="C14" s="69" t="s">
        <v>159</v>
      </c>
      <c r="D14" s="117" t="s">
        <v>127</v>
      </c>
      <c r="E14" s="98" t="s">
        <v>152</v>
      </c>
      <c r="F14" s="99"/>
      <c r="G14" s="53" t="s">
        <v>127</v>
      </c>
      <c r="H14" s="118" t="s">
        <v>134</v>
      </c>
      <c r="I14" s="124" t="s">
        <v>137</v>
      </c>
      <c r="J14" s="125" t="s">
        <v>151</v>
      </c>
      <c r="K14" s="126" t="s">
        <v>137</v>
      </c>
      <c r="L14" s="127" t="s">
        <v>140</v>
      </c>
      <c r="M14" s="128" t="s">
        <v>141</v>
      </c>
      <c r="N14" s="129" t="s">
        <v>142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:G3"/>
    <mergeCell ref="O4:P4"/>
    <mergeCell ref="A5:C6"/>
    <mergeCell ref="D9:H9"/>
    <mergeCell ref="I9:J9"/>
    <mergeCell ref="K9:L9"/>
    <mergeCell ref="M9:N9"/>
    <mergeCell ref="A10:B10"/>
    <mergeCell ref="D10:F10"/>
    <mergeCell ref="G10:H10"/>
    <mergeCell ref="I10:J10"/>
    <mergeCell ref="K10:L10"/>
  </mergeCells>
  <phoneticPr fontId="2"/>
  <hyperlinks>
    <hyperlink ref="P3" r:id="rId1" xr:uid="{00000000-0004-0000-04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F31"/>
  <sheetViews>
    <sheetView showGridLines="0" showOutlineSymbols="0" zoomScale="55" zoomScaleNormal="59" workbookViewId="0">
      <selection activeCell="I20" sqref="I20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43665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147</v>
      </c>
      <c r="B11" s="68"/>
      <c r="C11" s="69" t="s">
        <v>182</v>
      </c>
      <c r="D11" s="117">
        <v>43678</v>
      </c>
      <c r="E11" s="98" t="s">
        <v>67</v>
      </c>
      <c r="F11" s="99" t="s">
        <v>33</v>
      </c>
      <c r="G11" s="53" t="s">
        <v>137</v>
      </c>
      <c r="H11" s="118" t="s">
        <v>173</v>
      </c>
      <c r="I11" s="124" t="s">
        <v>141</v>
      </c>
      <c r="J11" s="125" t="s">
        <v>136</v>
      </c>
      <c r="K11" s="126" t="s">
        <v>141</v>
      </c>
      <c r="L11" s="127" t="s">
        <v>185</v>
      </c>
      <c r="M11" s="128" t="s">
        <v>183</v>
      </c>
      <c r="N11" s="129" t="s">
        <v>184</v>
      </c>
      <c r="O11" s="72" t="s">
        <v>29</v>
      </c>
    </row>
    <row r="12" spans="1:16" ht="26.1" customHeight="1" x14ac:dyDescent="0.2">
      <c r="A12" s="89" t="s">
        <v>148</v>
      </c>
      <c r="B12" s="68"/>
      <c r="C12" s="69" t="s">
        <v>186</v>
      </c>
      <c r="D12" s="117">
        <v>43685</v>
      </c>
      <c r="E12" s="98" t="s">
        <v>102</v>
      </c>
      <c r="F12" s="99" t="s">
        <v>190</v>
      </c>
      <c r="G12" s="53" t="s">
        <v>141</v>
      </c>
      <c r="H12" s="118" t="s">
        <v>136</v>
      </c>
      <c r="I12" s="124" t="s">
        <v>141</v>
      </c>
      <c r="J12" s="125" t="s">
        <v>138</v>
      </c>
      <c r="K12" s="126" t="s">
        <v>183</v>
      </c>
      <c r="L12" s="127" t="s">
        <v>197</v>
      </c>
      <c r="M12" s="128" t="s">
        <v>192</v>
      </c>
      <c r="N12" s="129" t="s">
        <v>193</v>
      </c>
      <c r="O12" s="72" t="s">
        <v>28</v>
      </c>
    </row>
    <row r="13" spans="1:16" ht="26.1" customHeight="1" x14ac:dyDescent="0.2">
      <c r="A13" s="89" t="s">
        <v>161</v>
      </c>
      <c r="B13" s="68"/>
      <c r="C13" s="69" t="s">
        <v>187</v>
      </c>
      <c r="D13" s="117">
        <v>43692</v>
      </c>
      <c r="E13" s="98" t="s">
        <v>103</v>
      </c>
      <c r="F13" s="99" t="s">
        <v>190</v>
      </c>
      <c r="G13" s="53" t="s">
        <v>141</v>
      </c>
      <c r="H13" s="118" t="s">
        <v>138</v>
      </c>
      <c r="I13" s="124" t="s">
        <v>141</v>
      </c>
      <c r="J13" s="125" t="s">
        <v>139</v>
      </c>
      <c r="K13" s="126" t="s">
        <v>183</v>
      </c>
      <c r="L13" s="127" t="s">
        <v>198</v>
      </c>
      <c r="M13" s="128" t="s">
        <v>192</v>
      </c>
      <c r="N13" s="129" t="s">
        <v>194</v>
      </c>
      <c r="O13" s="72"/>
    </row>
    <row r="14" spans="1:16" ht="26.1" customHeight="1" x14ac:dyDescent="0.2">
      <c r="A14" s="89" t="s">
        <v>147</v>
      </c>
      <c r="B14" s="68"/>
      <c r="C14" s="69" t="s">
        <v>188</v>
      </c>
      <c r="D14" s="117">
        <v>43699</v>
      </c>
      <c r="E14" s="98" t="s">
        <v>104</v>
      </c>
      <c r="F14" s="99" t="s">
        <v>190</v>
      </c>
      <c r="G14" s="53" t="s">
        <v>141</v>
      </c>
      <c r="H14" s="118" t="s">
        <v>191</v>
      </c>
      <c r="I14" s="124" t="s">
        <v>141</v>
      </c>
      <c r="J14" s="125" t="s">
        <v>140</v>
      </c>
      <c r="K14" s="126" t="s">
        <v>183</v>
      </c>
      <c r="L14" s="127" t="s">
        <v>199</v>
      </c>
      <c r="M14" s="128" t="s">
        <v>192</v>
      </c>
      <c r="N14" s="129" t="s">
        <v>195</v>
      </c>
      <c r="O14" s="72"/>
    </row>
    <row r="15" spans="1:16" ht="26.1" customHeight="1" x14ac:dyDescent="0.2">
      <c r="A15" s="89" t="s">
        <v>148</v>
      </c>
      <c r="B15" s="68"/>
      <c r="C15" s="69" t="s">
        <v>189</v>
      </c>
      <c r="D15" s="117">
        <v>43706</v>
      </c>
      <c r="E15" s="98" t="s">
        <v>108</v>
      </c>
      <c r="F15" s="99" t="s">
        <v>190</v>
      </c>
      <c r="G15" s="53" t="s">
        <v>141</v>
      </c>
      <c r="H15" s="118" t="s">
        <v>140</v>
      </c>
      <c r="I15" s="124" t="s">
        <v>183</v>
      </c>
      <c r="J15" s="125" t="s">
        <v>174</v>
      </c>
      <c r="K15" s="126" t="s">
        <v>183</v>
      </c>
      <c r="L15" s="127" t="s">
        <v>200</v>
      </c>
      <c r="M15" s="128" t="s">
        <v>196</v>
      </c>
      <c r="N15" s="129" t="s">
        <v>174</v>
      </c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:G3"/>
    <mergeCell ref="O4:P4"/>
    <mergeCell ref="A5:C6"/>
    <mergeCell ref="D9:H9"/>
    <mergeCell ref="I9:J9"/>
    <mergeCell ref="K9:L9"/>
    <mergeCell ref="M9:N9"/>
    <mergeCell ref="A10:B10"/>
    <mergeCell ref="D10:F10"/>
    <mergeCell ref="G10:H10"/>
    <mergeCell ref="I10:J10"/>
    <mergeCell ref="K10:L10"/>
  </mergeCells>
  <phoneticPr fontId="2"/>
  <hyperlinks>
    <hyperlink ref="P3" r:id="rId1" xr:uid="{00000000-0004-0000-06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F31"/>
  <sheetViews>
    <sheetView showGridLines="0" showOutlineSymbols="0" zoomScale="55" zoomScaleNormal="59" workbookViewId="0">
      <selection activeCell="M23" sqref="M23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43686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201</v>
      </c>
      <c r="B11" s="68"/>
      <c r="C11" s="69" t="s">
        <v>202</v>
      </c>
      <c r="D11" s="117">
        <v>43713</v>
      </c>
      <c r="E11" s="98" t="s">
        <v>40</v>
      </c>
      <c r="F11" s="99" t="s">
        <v>33</v>
      </c>
      <c r="G11" s="53" t="s">
        <v>183</v>
      </c>
      <c r="H11" s="118" t="s">
        <v>174</v>
      </c>
      <c r="I11" s="124" t="s">
        <v>183</v>
      </c>
      <c r="J11" s="125" t="s">
        <v>175</v>
      </c>
      <c r="K11" s="126" t="s">
        <v>183</v>
      </c>
      <c r="L11" s="127" t="s">
        <v>200</v>
      </c>
      <c r="M11" s="128" t="s">
        <v>196</v>
      </c>
      <c r="N11" s="129" t="s">
        <v>175</v>
      </c>
      <c r="O11" s="72" t="s">
        <v>29</v>
      </c>
    </row>
    <row r="12" spans="1:16" ht="26.1" customHeight="1" x14ac:dyDescent="0.2">
      <c r="A12" s="89" t="s">
        <v>147</v>
      </c>
      <c r="B12" s="68"/>
      <c r="C12" s="69" t="s">
        <v>203</v>
      </c>
      <c r="D12" s="117">
        <v>43720</v>
      </c>
      <c r="E12" s="98" t="s">
        <v>43</v>
      </c>
      <c r="F12" s="99" t="s">
        <v>190</v>
      </c>
      <c r="G12" s="53" t="s">
        <v>183</v>
      </c>
      <c r="H12" s="118" t="s">
        <v>175</v>
      </c>
      <c r="I12" s="124" t="s">
        <v>183</v>
      </c>
      <c r="J12" s="125" t="s">
        <v>176</v>
      </c>
      <c r="K12" s="126" t="s">
        <v>196</v>
      </c>
      <c r="L12" s="127" t="s">
        <v>184</v>
      </c>
      <c r="M12" s="128" t="s">
        <v>196</v>
      </c>
      <c r="N12" s="129" t="s">
        <v>176</v>
      </c>
      <c r="O12" s="72" t="s">
        <v>28</v>
      </c>
    </row>
    <row r="13" spans="1:16" ht="26.1" customHeight="1" x14ac:dyDescent="0.2">
      <c r="A13" s="89" t="s">
        <v>148</v>
      </c>
      <c r="B13" s="68"/>
      <c r="C13" s="69" t="s">
        <v>204</v>
      </c>
      <c r="D13" s="117">
        <v>43727</v>
      </c>
      <c r="E13" s="98" t="s">
        <v>30</v>
      </c>
      <c r="F13" s="99" t="s">
        <v>190</v>
      </c>
      <c r="G13" s="53" t="s">
        <v>183</v>
      </c>
      <c r="H13" s="118" t="s">
        <v>176</v>
      </c>
      <c r="I13" s="124" t="s">
        <v>183</v>
      </c>
      <c r="J13" s="125" t="s">
        <v>177</v>
      </c>
      <c r="K13" s="126" t="s">
        <v>196</v>
      </c>
      <c r="L13" s="127" t="s">
        <v>193</v>
      </c>
      <c r="M13" s="128" t="s">
        <v>196</v>
      </c>
      <c r="N13" s="129" t="s">
        <v>177</v>
      </c>
      <c r="O13" s="72"/>
    </row>
    <row r="14" spans="1:16" ht="26.1" customHeight="1" x14ac:dyDescent="0.2">
      <c r="A14" s="89" t="s">
        <v>201</v>
      </c>
      <c r="B14" s="68"/>
      <c r="C14" s="69" t="s">
        <v>205</v>
      </c>
      <c r="D14" s="117">
        <v>43734</v>
      </c>
      <c r="E14" s="98" t="s">
        <v>38</v>
      </c>
      <c r="F14" s="99" t="s">
        <v>190</v>
      </c>
      <c r="G14" s="53" t="s">
        <v>183</v>
      </c>
      <c r="H14" s="118" t="s">
        <v>177</v>
      </c>
      <c r="I14" s="124" t="s">
        <v>196</v>
      </c>
      <c r="J14" s="125" t="s">
        <v>142</v>
      </c>
      <c r="K14" s="126" t="s">
        <v>196</v>
      </c>
      <c r="L14" s="127" t="s">
        <v>194</v>
      </c>
      <c r="M14" s="128" t="s">
        <v>196</v>
      </c>
      <c r="N14" s="129" t="s">
        <v>185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0:B10"/>
    <mergeCell ref="D10:F10"/>
    <mergeCell ref="G10:H10"/>
    <mergeCell ref="I10:J10"/>
    <mergeCell ref="K10:L10"/>
    <mergeCell ref="A1:G3"/>
    <mergeCell ref="O4:P4"/>
    <mergeCell ref="A5:C6"/>
    <mergeCell ref="D9:H9"/>
    <mergeCell ref="I9:J9"/>
    <mergeCell ref="K9:L9"/>
    <mergeCell ref="M9:N9"/>
  </mergeCells>
  <phoneticPr fontId="2"/>
  <hyperlinks>
    <hyperlink ref="P3" r:id="rId1" xr:uid="{00000000-0004-0000-07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F31"/>
  <sheetViews>
    <sheetView showGridLines="0" showOutlineSymbols="0" zoomScale="55" zoomScaleNormal="59" workbookViewId="0">
      <selection activeCell="G21" sqref="G21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269" t="s">
        <v>23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  <c r="M1" s="36"/>
      <c r="N1" s="119"/>
      <c r="O1" s="119"/>
      <c r="P1" s="120" t="s">
        <v>24</v>
      </c>
    </row>
    <row r="2" spans="1:16" ht="23.25" customHeight="1" x14ac:dyDescent="0.35">
      <c r="A2" s="270"/>
      <c r="B2" s="270"/>
      <c r="C2" s="270"/>
      <c r="D2" s="270"/>
      <c r="E2" s="270"/>
      <c r="F2" s="270"/>
      <c r="G2" s="270"/>
      <c r="H2" s="36"/>
      <c r="I2" s="36"/>
      <c r="J2" s="36"/>
      <c r="K2" s="36"/>
      <c r="L2" s="36"/>
      <c r="M2" s="36"/>
      <c r="N2" s="119"/>
      <c r="O2" s="119"/>
      <c r="P2" s="120" t="s">
        <v>25</v>
      </c>
    </row>
    <row r="3" spans="1:16" ht="23.25" customHeight="1" x14ac:dyDescent="0.25">
      <c r="A3" s="270"/>
      <c r="B3" s="270"/>
      <c r="C3" s="270"/>
      <c r="D3" s="270"/>
      <c r="E3" s="270"/>
      <c r="F3" s="270"/>
      <c r="G3" s="270"/>
      <c r="H3" s="36"/>
      <c r="I3" s="36"/>
      <c r="J3" s="36"/>
      <c r="K3" s="36"/>
      <c r="L3" s="36"/>
      <c r="M3" s="36"/>
      <c r="N3" s="119"/>
      <c r="O3" s="119"/>
      <c r="P3" s="121" t="s">
        <v>26</v>
      </c>
    </row>
    <row r="4" spans="1:16" s="3" customFormat="1" ht="23.25" customHeight="1" x14ac:dyDescent="0.25">
      <c r="A4" s="73" t="s">
        <v>21</v>
      </c>
      <c r="B4" s="37"/>
      <c r="C4" s="37"/>
      <c r="D4" s="37"/>
      <c r="E4" s="37"/>
      <c r="F4" s="37"/>
      <c r="G4" s="37"/>
      <c r="O4" s="271">
        <v>43712</v>
      </c>
      <c r="P4" s="272"/>
    </row>
    <row r="5" spans="1:16" ht="24" customHeight="1" x14ac:dyDescent="0.2">
      <c r="A5" s="273" t="s">
        <v>27</v>
      </c>
      <c r="B5" s="273"/>
      <c r="C5" s="273"/>
      <c r="D5" s="58"/>
    </row>
    <row r="6" spans="1:16" s="13" customFormat="1" ht="24" customHeight="1" x14ac:dyDescent="0.2">
      <c r="A6" s="273"/>
      <c r="B6" s="273"/>
      <c r="C6" s="273"/>
      <c r="D6" s="39"/>
      <c r="E6" s="23"/>
      <c r="F6" s="23"/>
      <c r="G6" s="24"/>
      <c r="H6" s="24"/>
      <c r="I6" s="24"/>
      <c r="J6" s="24"/>
      <c r="K6" s="24"/>
      <c r="L6" s="12"/>
      <c r="M6" s="12"/>
      <c r="N6" s="6"/>
      <c r="P6" s="11"/>
    </row>
    <row r="7" spans="1:16" s="13" customFormat="1" ht="22.5" customHeight="1" x14ac:dyDescent="0.3">
      <c r="A7" s="122" t="s">
        <v>145</v>
      </c>
      <c r="B7" s="123"/>
      <c r="C7" s="123"/>
      <c r="D7" s="71" t="s">
        <v>33</v>
      </c>
      <c r="E7" s="23"/>
      <c r="F7" s="23"/>
      <c r="G7" s="24"/>
      <c r="H7" s="24"/>
      <c r="I7" s="24"/>
      <c r="J7" s="24"/>
      <c r="K7" s="24"/>
      <c r="L7" s="12"/>
      <c r="M7" s="12"/>
    </row>
    <row r="8" spans="1:16" s="13" customFormat="1" ht="25.5" customHeight="1" thickBot="1" x14ac:dyDescent="0.35">
      <c r="A8" s="57"/>
      <c r="B8" s="17"/>
      <c r="C8" s="17"/>
      <c r="D8" s="31"/>
      <c r="E8" s="23"/>
      <c r="F8" s="23"/>
      <c r="G8" s="24"/>
      <c r="H8" s="24"/>
      <c r="I8" s="24"/>
      <c r="J8" s="24"/>
      <c r="K8" s="24"/>
      <c r="L8" s="12"/>
      <c r="M8" s="12"/>
    </row>
    <row r="9" spans="1:16" s="6" customFormat="1" ht="25.5" customHeight="1" thickBot="1" x14ac:dyDescent="0.2">
      <c r="A9" s="88"/>
      <c r="B9" s="30"/>
      <c r="C9" s="16" t="s">
        <v>4</v>
      </c>
      <c r="D9" s="261" t="s">
        <v>51</v>
      </c>
      <c r="E9" s="262"/>
      <c r="F9" s="262"/>
      <c r="G9" s="262"/>
      <c r="H9" s="263"/>
      <c r="I9" s="261" t="s">
        <v>135</v>
      </c>
      <c r="J9" s="263"/>
      <c r="K9" s="261" t="s">
        <v>8</v>
      </c>
      <c r="L9" s="263"/>
      <c r="M9" s="274" t="s">
        <v>10</v>
      </c>
      <c r="N9" s="275"/>
    </row>
    <row r="10" spans="1:16" s="13" customFormat="1" ht="26.1" customHeight="1" thickBot="1" x14ac:dyDescent="0.2">
      <c r="A10" s="264" t="s">
        <v>0</v>
      </c>
      <c r="B10" s="265"/>
      <c r="C10" s="101"/>
      <c r="D10" s="264" t="s">
        <v>6</v>
      </c>
      <c r="E10" s="266"/>
      <c r="F10" s="265"/>
      <c r="G10" s="264" t="s">
        <v>5</v>
      </c>
      <c r="H10" s="265"/>
      <c r="I10" s="264" t="s">
        <v>7</v>
      </c>
      <c r="J10" s="265"/>
      <c r="K10" s="264" t="s">
        <v>7</v>
      </c>
      <c r="L10" s="265"/>
      <c r="M10" s="264" t="s">
        <v>7</v>
      </c>
      <c r="N10" s="265"/>
    </row>
    <row r="11" spans="1:16" ht="26.1" customHeight="1" x14ac:dyDescent="0.2">
      <c r="A11" s="89" t="s">
        <v>147</v>
      </c>
      <c r="B11" s="68"/>
      <c r="C11" s="69" t="s">
        <v>206</v>
      </c>
      <c r="D11" s="117">
        <v>43741</v>
      </c>
      <c r="E11" s="98" t="s">
        <v>39</v>
      </c>
      <c r="F11" s="99" t="s">
        <v>33</v>
      </c>
      <c r="G11" s="53" t="s">
        <v>196</v>
      </c>
      <c r="H11" s="118" t="s">
        <v>142</v>
      </c>
      <c r="I11" s="124" t="s">
        <v>196</v>
      </c>
      <c r="J11" s="125" t="s">
        <v>178</v>
      </c>
      <c r="K11" s="126" t="s">
        <v>196</v>
      </c>
      <c r="L11" s="127" t="s">
        <v>195</v>
      </c>
      <c r="M11" s="128" t="s">
        <v>210</v>
      </c>
      <c r="N11" s="129" t="s">
        <v>197</v>
      </c>
      <c r="O11" s="72" t="s">
        <v>29</v>
      </c>
    </row>
    <row r="12" spans="1:16" ht="26.1" customHeight="1" x14ac:dyDescent="0.2">
      <c r="A12" s="89" t="s">
        <v>148</v>
      </c>
      <c r="B12" s="68"/>
      <c r="C12" s="69" t="s">
        <v>207</v>
      </c>
      <c r="D12" s="117">
        <v>43748</v>
      </c>
      <c r="E12" s="98" t="s">
        <v>42</v>
      </c>
      <c r="F12" s="99" t="s">
        <v>190</v>
      </c>
      <c r="G12" s="53" t="s">
        <v>196</v>
      </c>
      <c r="H12" s="118" t="s">
        <v>178</v>
      </c>
      <c r="I12" s="124" t="s">
        <v>196</v>
      </c>
      <c r="J12" s="125" t="s">
        <v>179</v>
      </c>
      <c r="K12" s="126" t="s">
        <v>210</v>
      </c>
      <c r="L12" s="127" t="s">
        <v>151</v>
      </c>
      <c r="M12" s="128" t="s">
        <v>210</v>
      </c>
      <c r="N12" s="129" t="s">
        <v>198</v>
      </c>
      <c r="O12" s="72" t="s">
        <v>28</v>
      </c>
    </row>
    <row r="13" spans="1:16" ht="26.1" customHeight="1" x14ac:dyDescent="0.2">
      <c r="A13" s="89" t="s">
        <v>201</v>
      </c>
      <c r="B13" s="68"/>
      <c r="C13" s="69" t="s">
        <v>208</v>
      </c>
      <c r="D13" s="117">
        <v>43755</v>
      </c>
      <c r="E13" s="98" t="s">
        <v>45</v>
      </c>
      <c r="F13" s="99" t="s">
        <v>190</v>
      </c>
      <c r="G13" s="53" t="s">
        <v>196</v>
      </c>
      <c r="H13" s="118" t="s">
        <v>179</v>
      </c>
      <c r="I13" s="124" t="s">
        <v>196</v>
      </c>
      <c r="J13" s="125" t="s">
        <v>180</v>
      </c>
      <c r="K13" s="126" t="s">
        <v>210</v>
      </c>
      <c r="L13" s="127" t="s">
        <v>170</v>
      </c>
      <c r="M13" s="128" t="s">
        <v>210</v>
      </c>
      <c r="N13" s="129" t="s">
        <v>199</v>
      </c>
      <c r="O13" s="72"/>
    </row>
    <row r="14" spans="1:16" ht="26.1" customHeight="1" x14ac:dyDescent="0.2">
      <c r="A14" s="89" t="s">
        <v>147</v>
      </c>
      <c r="B14" s="68"/>
      <c r="C14" s="69" t="s">
        <v>209</v>
      </c>
      <c r="D14" s="117">
        <v>43762</v>
      </c>
      <c r="E14" s="98" t="s">
        <v>37</v>
      </c>
      <c r="F14" s="99" t="s">
        <v>190</v>
      </c>
      <c r="G14" s="53" t="s">
        <v>196</v>
      </c>
      <c r="H14" s="118" t="s">
        <v>180</v>
      </c>
      <c r="I14" s="124" t="s">
        <v>196</v>
      </c>
      <c r="J14" s="125" t="s">
        <v>181</v>
      </c>
      <c r="K14" s="126" t="s">
        <v>210</v>
      </c>
      <c r="L14" s="127" t="s">
        <v>171</v>
      </c>
      <c r="M14" s="128" t="s">
        <v>210</v>
      </c>
      <c r="N14" s="129" t="s">
        <v>200</v>
      </c>
      <c r="O14" s="72"/>
    </row>
    <row r="15" spans="1:16" ht="26.1" customHeight="1" x14ac:dyDescent="0.2">
      <c r="A15" s="89"/>
      <c r="B15" s="68"/>
      <c r="C15" s="69"/>
      <c r="D15" s="117"/>
      <c r="E15" s="98"/>
      <c r="F15" s="99"/>
      <c r="G15" s="53"/>
      <c r="H15" s="118"/>
      <c r="I15" s="124"/>
      <c r="J15" s="125"/>
      <c r="K15" s="126"/>
      <c r="L15" s="127"/>
      <c r="M15" s="128"/>
      <c r="N15" s="129"/>
      <c r="O15" s="72"/>
    </row>
    <row r="16" spans="1:16" ht="26.1" customHeight="1" x14ac:dyDescent="0.2">
      <c r="A16" s="89"/>
      <c r="B16" s="68"/>
      <c r="C16" s="69"/>
      <c r="D16" s="70"/>
      <c r="E16" s="98"/>
      <c r="F16" s="99"/>
      <c r="G16" s="53"/>
      <c r="H16" s="74"/>
      <c r="I16" s="130"/>
      <c r="J16" s="131"/>
      <c r="K16" s="112"/>
      <c r="L16" s="132"/>
      <c r="M16" s="133"/>
      <c r="N16" s="134"/>
      <c r="O16" s="72"/>
    </row>
    <row r="17" spans="1:32" ht="26.1" customHeight="1" x14ac:dyDescent="0.2">
      <c r="A17" s="89"/>
      <c r="B17" s="68"/>
      <c r="C17" s="69"/>
      <c r="D17" s="70"/>
      <c r="E17" s="98"/>
      <c r="F17" s="99"/>
      <c r="G17" s="53"/>
      <c r="H17" s="74"/>
      <c r="I17" s="130"/>
      <c r="J17" s="131"/>
      <c r="K17" s="112"/>
      <c r="L17" s="132"/>
      <c r="M17" s="133"/>
      <c r="N17" s="134"/>
      <c r="O17" s="72" t="s">
        <v>28</v>
      </c>
    </row>
    <row r="18" spans="1:32" ht="26.1" customHeight="1" x14ac:dyDescent="0.2">
      <c r="A18" s="89"/>
      <c r="B18" s="68"/>
      <c r="C18" s="69"/>
      <c r="D18" s="70"/>
      <c r="E18" s="98"/>
      <c r="F18" s="99"/>
      <c r="G18" s="53"/>
      <c r="H18" s="74"/>
      <c r="I18" s="130"/>
      <c r="J18" s="131"/>
      <c r="K18" s="112"/>
      <c r="L18" s="132"/>
      <c r="M18" s="133"/>
      <c r="N18" s="134"/>
      <c r="O18" s="72" t="s">
        <v>28</v>
      </c>
    </row>
    <row r="19" spans="1:32" ht="26.1" customHeight="1" x14ac:dyDescent="0.2">
      <c r="A19" s="67" t="s">
        <v>143</v>
      </c>
      <c r="B19" s="18"/>
      <c r="C19" s="9"/>
      <c r="D19" s="135"/>
      <c r="E19" s="136"/>
      <c r="F19" s="137"/>
      <c r="G19" s="54"/>
      <c r="H19" s="75"/>
      <c r="I19" s="75"/>
      <c r="J19" s="54"/>
      <c r="K19" s="54"/>
      <c r="L19" s="138"/>
      <c r="M19" s="138"/>
      <c r="N19" s="139"/>
      <c r="O19" s="72"/>
    </row>
    <row r="20" spans="1:32" ht="26.25" customHeight="1" x14ac:dyDescent="0.2">
      <c r="A20" s="67"/>
      <c r="B20" s="18"/>
      <c r="C20" s="9"/>
      <c r="D20" s="54"/>
      <c r="E20" s="55"/>
      <c r="F20" s="78"/>
      <c r="G20" s="54"/>
      <c r="H20" s="75"/>
      <c r="I20" s="75"/>
      <c r="J20" s="75"/>
      <c r="K20" s="75"/>
      <c r="L20" s="54"/>
      <c r="M20" s="54"/>
      <c r="N20" s="54"/>
      <c r="O20" s="72"/>
    </row>
    <row r="21" spans="1:32" ht="26.25" customHeight="1" x14ac:dyDescent="0.2">
      <c r="A21" s="15" t="s">
        <v>50</v>
      </c>
      <c r="B21" s="15"/>
      <c r="M21" s="138"/>
      <c r="N21" s="54"/>
      <c r="O21" s="72"/>
    </row>
    <row r="22" spans="1:32" ht="26.25" customHeight="1" x14ac:dyDescent="0.2">
      <c r="A22" s="91"/>
      <c r="B22" s="10" t="s">
        <v>153</v>
      </c>
      <c r="C22" s="10"/>
      <c r="D22" s="10"/>
      <c r="E22" s="10"/>
      <c r="F22" s="10"/>
      <c r="G22" s="92" t="s">
        <v>154</v>
      </c>
      <c r="H22" s="10"/>
      <c r="I22" s="10"/>
      <c r="J22" s="10"/>
      <c r="K22" s="10"/>
      <c r="L22" s="10"/>
      <c r="M22" s="138"/>
      <c r="N22" s="54"/>
      <c r="O22" s="72"/>
    </row>
    <row r="23" spans="1:32" s="2" customFormat="1" ht="26.25" customHeight="1" x14ac:dyDescent="0.2">
      <c r="A23" s="91"/>
      <c r="B23" s="10" t="s">
        <v>155</v>
      </c>
      <c r="C23" s="10"/>
      <c r="D23" s="10"/>
      <c r="E23" s="10"/>
      <c r="F23" s="10"/>
      <c r="G23" s="92"/>
      <c r="H23" s="10"/>
      <c r="I23" s="10"/>
      <c r="J23" s="10"/>
      <c r="K23" s="10"/>
      <c r="L23" s="10"/>
      <c r="M23" s="138"/>
      <c r="N23" s="10"/>
      <c r="O23"/>
      <c r="P23"/>
    </row>
    <row r="24" spans="1:32" s="33" customFormat="1" ht="26.25" customHeight="1" x14ac:dyDescent="0.2">
      <c r="A24" s="15"/>
      <c r="B24" s="10" t="s">
        <v>156</v>
      </c>
      <c r="C24" s="10" t="s">
        <v>157</v>
      </c>
      <c r="D24" s="10"/>
      <c r="E24" s="10"/>
      <c r="F24" s="10"/>
      <c r="G24" s="92"/>
      <c r="H24" s="10"/>
      <c r="I24" s="10"/>
      <c r="J24" s="10"/>
      <c r="K24" s="10"/>
      <c r="L24" s="10"/>
      <c r="M24" s="138"/>
      <c r="N24" s="109"/>
      <c r="O24"/>
      <c r="P24"/>
      <c r="Q24"/>
      <c r="R24"/>
      <c r="S24"/>
      <c r="T24"/>
      <c r="U24"/>
      <c r="V24" s="15"/>
      <c r="W24" s="15"/>
      <c r="X24" s="15"/>
      <c r="Y24"/>
      <c r="Z24"/>
      <c r="AA24"/>
      <c r="AB24"/>
      <c r="AC24"/>
      <c r="AD24"/>
      <c r="AE24" s="90"/>
      <c r="AF24" s="90"/>
    </row>
    <row r="25" spans="1:32" s="33" customFormat="1" ht="26.25" customHeight="1" x14ac:dyDescent="0.2">
      <c r="A25" s="15"/>
      <c r="B25" s="140"/>
      <c r="C25" s="140"/>
      <c r="D25" s="97"/>
      <c r="E25" s="140"/>
      <c r="F25" s="97"/>
      <c r="G25" s="10"/>
      <c r="H25" s="10"/>
      <c r="I25" s="10"/>
      <c r="J25" s="10"/>
      <c r="K25" s="10"/>
      <c r="L25" s="10"/>
      <c r="M25" s="138"/>
      <c r="N25" s="109"/>
      <c r="O25" s="5"/>
      <c r="P25" s="5"/>
      <c r="Q25"/>
      <c r="R25" s="91"/>
      <c r="S25"/>
      <c r="T25"/>
      <c r="U25"/>
      <c r="V25" s="15"/>
      <c r="W25" s="15"/>
      <c r="X25" s="15"/>
      <c r="Y25" s="91"/>
      <c r="Z25"/>
      <c r="AA25"/>
      <c r="AB25"/>
      <c r="AC25" s="92"/>
      <c r="AD25" s="1"/>
      <c r="AE25" s="90"/>
      <c r="AF25" s="90"/>
    </row>
    <row r="26" spans="1:32" s="59" customFormat="1" ht="26.25" customHeight="1" x14ac:dyDescent="0.2">
      <c r="A26" s="141"/>
      <c r="B26" s="142"/>
      <c r="C26" s="109"/>
      <c r="D26" s="60"/>
      <c r="E26" s="61"/>
      <c r="F26" s="61"/>
      <c r="G26" s="60"/>
      <c r="H26" s="143"/>
      <c r="I26" s="10"/>
      <c r="J26" s="10"/>
      <c r="K26" s="10"/>
      <c r="L26" s="10"/>
      <c r="M26" s="138"/>
      <c r="N26" s="144"/>
    </row>
    <row r="27" spans="1:32" s="59" customFormat="1" ht="26.25" customHeight="1" x14ac:dyDescent="0.2">
      <c r="A27" s="18" t="s">
        <v>123</v>
      </c>
      <c r="B27" s="56"/>
      <c r="C27" s="22"/>
      <c r="D27" s="60"/>
      <c r="E27" s="61"/>
      <c r="F27" s="41"/>
      <c r="G27" s="60"/>
      <c r="I27"/>
      <c r="J27"/>
      <c r="K27"/>
      <c r="L27"/>
      <c r="M27" s="138"/>
    </row>
    <row r="28" spans="1:32" s="59" customFormat="1" ht="26.25" customHeight="1" x14ac:dyDescent="0.2">
      <c r="A28" s="58" t="s">
        <v>144</v>
      </c>
      <c r="B28" s="56"/>
      <c r="C28" s="22"/>
      <c r="D28" s="60"/>
      <c r="E28" s="61"/>
      <c r="F28" s="41"/>
      <c r="G28" s="60"/>
      <c r="I28"/>
      <c r="J28"/>
      <c r="K28"/>
      <c r="L28"/>
      <c r="M28" s="58"/>
    </row>
    <row r="29" spans="1:32" s="59" customFormat="1" ht="26.25" customHeight="1" x14ac:dyDescent="0.2">
      <c r="A29" s="18" t="s">
        <v>125</v>
      </c>
      <c r="B29" s="18"/>
      <c r="C29" s="9"/>
      <c r="D29" s="60"/>
      <c r="E29" s="61"/>
      <c r="F29" s="41"/>
      <c r="G29" s="60"/>
      <c r="I29"/>
      <c r="J29"/>
      <c r="K29"/>
      <c r="L29"/>
      <c r="M29" s="58"/>
    </row>
    <row r="30" spans="1:32" s="59" customFormat="1" ht="26.25" customHeight="1" x14ac:dyDescent="0.2">
      <c r="A30" s="18" t="s">
        <v>146</v>
      </c>
      <c r="B30" s="18"/>
      <c r="C30" s="9"/>
      <c r="D30" s="60"/>
      <c r="E30" s="61"/>
      <c r="F30" s="41"/>
      <c r="G30" s="60"/>
      <c r="H30" s="40"/>
      <c r="I30"/>
      <c r="J30"/>
      <c r="K30"/>
      <c r="L30"/>
      <c r="M30" s="60"/>
    </row>
    <row r="31" spans="1:32" ht="26.25" customHeight="1" x14ac:dyDescent="0.2">
      <c r="A31" s="18"/>
      <c r="B31" s="56"/>
      <c r="C31" s="22"/>
      <c r="D31" s="60"/>
      <c r="E31" s="61"/>
      <c r="F31" s="41"/>
      <c r="G31" s="60"/>
      <c r="H31" s="40"/>
      <c r="M31" s="60"/>
      <c r="N31" s="59"/>
      <c r="O31" s="59"/>
      <c r="P31" s="59"/>
    </row>
  </sheetData>
  <mergeCells count="13">
    <mergeCell ref="M10:N10"/>
    <mergeCell ref="A1:G3"/>
    <mergeCell ref="O4:P4"/>
    <mergeCell ref="A5:C6"/>
    <mergeCell ref="D9:H9"/>
    <mergeCell ref="I9:J9"/>
    <mergeCell ref="K9:L9"/>
    <mergeCell ref="M9:N9"/>
    <mergeCell ref="A10:B10"/>
    <mergeCell ref="D10:F10"/>
    <mergeCell ref="G10:H10"/>
    <mergeCell ref="I10:J10"/>
    <mergeCell ref="K10:L10"/>
  </mergeCells>
  <phoneticPr fontId="2"/>
  <hyperlinks>
    <hyperlink ref="P3" r:id="rId1" xr:uid="{00000000-0004-0000-08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32</vt:i4>
      </vt:variant>
    </vt:vector>
  </HeadingPairs>
  <TitlesOfParts>
    <vt:vector size="73" baseType="lpstr">
      <vt:lpstr>COVER</vt:lpstr>
      <vt:lpstr>3月</vt:lpstr>
      <vt:lpstr>4月</vt:lpstr>
      <vt:lpstr>5月 </vt:lpstr>
      <vt:lpstr>7月 </vt:lpstr>
      <vt:lpstr>6月</vt:lpstr>
      <vt:lpstr>8月 </vt:lpstr>
      <vt:lpstr>9月  </vt:lpstr>
      <vt:lpstr>10月 </vt:lpstr>
      <vt:lpstr>12月</vt:lpstr>
      <vt:lpstr>11月</vt:lpstr>
      <vt:lpstr>2020年1月</vt:lpstr>
      <vt:lpstr>2020年2月</vt:lpstr>
      <vt:lpstr>2020年3月</vt:lpstr>
      <vt:lpstr>2020年4月</vt:lpstr>
      <vt:lpstr>2020年8月</vt:lpstr>
      <vt:lpstr>2020年９月</vt:lpstr>
      <vt:lpstr>2020年10月</vt:lpstr>
      <vt:lpstr>2020年11月</vt:lpstr>
      <vt:lpstr>2020年12月</vt:lpstr>
      <vt:lpstr>2021年1月</vt:lpstr>
      <vt:lpstr>2021年2月</vt:lpstr>
      <vt:lpstr>2021年3月</vt:lpstr>
      <vt:lpstr>2021年４月</vt:lpstr>
      <vt:lpstr>2021年5月</vt:lpstr>
      <vt:lpstr>2021年6月</vt:lpstr>
      <vt:lpstr>2021年6月 (2)</vt:lpstr>
      <vt:lpstr>2021年7月</vt:lpstr>
      <vt:lpstr>2021年8月</vt:lpstr>
      <vt:lpstr>2021年9月</vt:lpstr>
      <vt:lpstr>2021年10月</vt:lpstr>
      <vt:lpstr>2021年11月</vt:lpstr>
      <vt:lpstr>2021年11月 (2)</vt:lpstr>
      <vt:lpstr>2021年12月</vt:lpstr>
      <vt:lpstr>2022　1月</vt:lpstr>
      <vt:lpstr>2022　2月</vt:lpstr>
      <vt:lpstr>2022　4月</vt:lpstr>
      <vt:lpstr>2022　5月</vt:lpstr>
      <vt:lpstr>2022　6月</vt:lpstr>
      <vt:lpstr>Sheet1</vt:lpstr>
      <vt:lpstr>Sheet2</vt:lpstr>
      <vt:lpstr>'10月 '!Print_Area</vt:lpstr>
      <vt:lpstr>'11月'!Print_Area</vt:lpstr>
      <vt:lpstr>'12月'!Print_Area</vt:lpstr>
      <vt:lpstr>'2020年1月'!Print_Area</vt:lpstr>
      <vt:lpstr>'2020年2月'!Print_Area</vt:lpstr>
      <vt:lpstr>'2020年3月'!Print_Area</vt:lpstr>
      <vt:lpstr>'2020年4月'!Print_Area</vt:lpstr>
      <vt:lpstr>'2020年8月'!Print_Area</vt:lpstr>
      <vt:lpstr>'2020年９月'!Print_Area</vt:lpstr>
      <vt:lpstr>'2021年10月'!Print_Area</vt:lpstr>
      <vt:lpstr>'2021年11月'!Print_Area</vt:lpstr>
      <vt:lpstr>'2021年11月 (2)'!Print_Area</vt:lpstr>
      <vt:lpstr>'2021年12月'!Print_Area</vt:lpstr>
      <vt:lpstr>'2021年5月'!Print_Area</vt:lpstr>
      <vt:lpstr>'2021年6月'!Print_Area</vt:lpstr>
      <vt:lpstr>'2021年6月 (2)'!Print_Area</vt:lpstr>
      <vt:lpstr>'2021年7月'!Print_Area</vt:lpstr>
      <vt:lpstr>'2021年8月'!Print_Area</vt:lpstr>
      <vt:lpstr>'2021年9月'!Print_Area</vt:lpstr>
      <vt:lpstr>'2022　1月'!Print_Area</vt:lpstr>
      <vt:lpstr>'2022　2月'!Print_Area</vt:lpstr>
      <vt:lpstr>'2022　4月'!Print_Area</vt:lpstr>
      <vt:lpstr>'2022　5月'!Print_Area</vt:lpstr>
      <vt:lpstr>'2022　6月'!Print_Area</vt:lpstr>
      <vt:lpstr>'3月'!Print_Area</vt:lpstr>
      <vt:lpstr>'4月'!Print_Area</vt:lpstr>
      <vt:lpstr>'5月 '!Print_Area</vt:lpstr>
      <vt:lpstr>'6月'!Print_Area</vt:lpstr>
      <vt:lpstr>'7月 '!Print_Area</vt:lpstr>
      <vt:lpstr>'8月 '!Print_Area</vt:lpstr>
      <vt:lpstr>'9月  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マリーンスター株式会社</dc:creator>
  <cp:lastModifiedBy>Yasuko</cp:lastModifiedBy>
  <cp:lastPrinted>2022-05-26T06:57:50Z</cp:lastPrinted>
  <dcterms:created xsi:type="dcterms:W3CDTF">2002-09-17T07:49:11Z</dcterms:created>
  <dcterms:modified xsi:type="dcterms:W3CDTF">2022-05-26T06:57:55Z</dcterms:modified>
</cp:coreProperties>
</file>